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wanzer\Documents\"/>
    </mc:Choice>
  </mc:AlternateContent>
  <xr:revisionPtr revIDLastSave="0" documentId="8_{B89A0832-64DB-42CF-8E23-833164693085}" xr6:coauthVersionLast="47" xr6:coauthVersionMax="47" xr10:uidLastSave="{00000000-0000-0000-0000-000000000000}"/>
  <bookViews>
    <workbookView xWindow="19080" yWindow="-150" windowWidth="19440" windowHeight="15000" tabRatio="757" xr2:uid="{00000000-000D-0000-FFFF-FFFF00000000}"/>
  </bookViews>
  <sheets>
    <sheet name="Cover Page" sheetId="13" r:id="rId1"/>
    <sheet name="Inputs" sheetId="4" r:id="rId2"/>
    <sheet name="Sch 1" sheetId="1" r:id="rId3"/>
    <sheet name="Sch 2 - BS" sheetId="2" r:id="rId4"/>
    <sheet name="Sch 3 - IS" sheetId="3" r:id="rId5"/>
    <sheet name="Sch 4" sheetId="6" r:id="rId6"/>
    <sheet name="Sch 5 - Inc Adj" sheetId="8" r:id="rId7"/>
    <sheet name="Sch 6 - Exp Adj" sheetId="7" r:id="rId8"/>
    <sheet name="Sch 7 - E&amp;R" sheetId="5" r:id="rId9"/>
    <sheet name="Sch 8 - Working Captial" sheetId="11" r:id="rId10"/>
    <sheet name="Sch 9 - Debt Service" sheetId="10" r:id="rId11"/>
    <sheet name="Sch 10 - Debt Service Reserve" sheetId="9" r:id="rId12"/>
    <sheet name="Sch 11 - Tariff" sheetId="12" r:id="rId13"/>
    <sheet name="Workpapers" sheetId="14" r:id="rId14"/>
    <sheet name="Rev Req Comparison" sheetId="15" r:id="rId15"/>
  </sheets>
  <definedNames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_xlnm.Print_Area" localSheetId="14">'Rev Req Comparison'!$A$1:$G$27</definedName>
    <definedName name="_xlnm.Print_Area" localSheetId="2">'Sch 1'!$A$1:$I$87</definedName>
    <definedName name="_xlnm.Print_Area" localSheetId="11">'Sch 10 - Debt Service Reserve'!$A$1:$L$15</definedName>
    <definedName name="_xlnm.Print_Area" localSheetId="12">'Sch 11 - Tariff'!$A$1:$J$41</definedName>
    <definedName name="_xlnm.Print_Area" localSheetId="3">'Sch 2 - BS'!$A$1:$I$96</definedName>
    <definedName name="_xlnm.Print_Area" localSheetId="4">'Sch 3 - IS'!$A$1:$I$85</definedName>
    <definedName name="_xlnm.Print_Area" localSheetId="5">'Sch 4'!$A$1:$Q$68</definedName>
    <definedName name="_xlnm.Print_Area" localSheetId="6">'Sch 5 - Inc Adj'!$A$1:$I$79</definedName>
    <definedName name="_xlnm.Print_Area" localSheetId="7">'Sch 6 - Exp Adj'!$A$1:$I$182</definedName>
    <definedName name="_xlnm.Print_Area" localSheetId="8">'Sch 7 - E&amp;R'!$A$1:$N$33</definedName>
    <definedName name="_xlnm.Print_Area" localSheetId="9">'Sch 8 - Working Captial'!$A$1:$H$29</definedName>
    <definedName name="_xlnm.Print_Area" localSheetId="10">'Sch 9 - Debt Service'!$A$1:$I$19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4" i="1" l="1"/>
  <c r="E24" i="15"/>
  <c r="E23" i="15"/>
  <c r="E22" i="15"/>
  <c r="C42" i="1"/>
  <c r="C19" i="4"/>
  <c r="J27" i="5"/>
  <c r="J21" i="5"/>
  <c r="J20" i="5"/>
  <c r="N20" i="5" s="1"/>
  <c r="J19" i="5"/>
  <c r="N19" i="5" s="1"/>
  <c r="J16" i="5"/>
  <c r="N16" i="5" s="1"/>
  <c r="J15" i="5"/>
  <c r="N15" i="5" s="1"/>
  <c r="J13" i="5"/>
  <c r="N13" i="5" s="1"/>
  <c r="H27" i="7"/>
  <c r="H68" i="8"/>
  <c r="C36" i="8"/>
  <c r="G87" i="3"/>
  <c r="E87" i="3"/>
  <c r="I114" i="7"/>
  <c r="F71" i="7"/>
  <c r="F67" i="7"/>
  <c r="F61" i="7"/>
  <c r="F63" i="7" s="1"/>
  <c r="C59" i="1"/>
  <c r="C80" i="1"/>
  <c r="C70" i="1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E23" i="1"/>
  <c r="I23" i="1" s="1"/>
  <c r="L31" i="5"/>
  <c r="N21" i="5"/>
  <c r="N18" i="5"/>
  <c r="N17" i="5"/>
  <c r="L27" i="5"/>
  <c r="N25" i="5"/>
  <c r="L23" i="5"/>
  <c r="E26" i="15" l="1"/>
  <c r="F73" i="7"/>
  <c r="F75" i="7" s="1"/>
  <c r="I77" i="7" s="1"/>
  <c r="N23" i="5"/>
  <c r="N27" i="5" s="1"/>
  <c r="N31" i="5" s="1"/>
  <c r="K61" i="6" l="1"/>
  <c r="Q61" i="6" s="1"/>
  <c r="A144" i="7"/>
  <c r="A143" i="7"/>
  <c r="F134" i="7"/>
  <c r="F123" i="7"/>
  <c r="F125" i="7" s="1"/>
  <c r="I127" i="7" s="1"/>
  <c r="G53" i="6" s="1"/>
  <c r="F57" i="8" l="1"/>
  <c r="H69" i="8"/>
  <c r="F61" i="8" s="1"/>
  <c r="E18" i="15"/>
  <c r="E16" i="15"/>
  <c r="E17" i="15"/>
  <c r="E15" i="15"/>
  <c r="E17" i="1"/>
  <c r="I17" i="10"/>
  <c r="E81" i="1" l="1"/>
  <c r="I81" i="1" s="1"/>
  <c r="F13" i="8"/>
  <c r="F15" i="8" s="1"/>
  <c r="F56" i="8"/>
  <c r="L17" i="4" l="1"/>
  <c r="C13" i="1"/>
  <c r="E13" i="15" s="1"/>
  <c r="A4" i="10"/>
  <c r="A5" i="10"/>
  <c r="A48" i="8"/>
  <c r="A47" i="8"/>
  <c r="G39" i="7" l="1"/>
  <c r="G43" i="6"/>
  <c r="F103" i="7"/>
  <c r="I105" i="7" s="1"/>
  <c r="G42" i="6" s="1"/>
  <c r="I86" i="7"/>
  <c r="G37" i="6" s="1"/>
  <c r="E71" i="1" l="1"/>
  <c r="I71" i="1" s="1"/>
  <c r="A93" i="7"/>
  <c r="A92" i="7"/>
  <c r="A53" i="7"/>
  <c r="A52" i="7"/>
  <c r="F16" i="8"/>
  <c r="F17" i="8" s="1"/>
  <c r="E167" i="7" s="1"/>
  <c r="H25" i="8" l="1"/>
  <c r="H26" i="8" s="1"/>
  <c r="F18" i="8" l="1"/>
  <c r="I20" i="8" s="1"/>
  <c r="G14" i="6" s="1"/>
  <c r="F58" i="8"/>
  <c r="F60" i="8" s="1"/>
  <c r="G36" i="6"/>
  <c r="I63" i="8" l="1"/>
  <c r="G15" i="6" s="1"/>
  <c r="E59" i="1" s="1"/>
  <c r="I59" i="1" s="1"/>
  <c r="E169" i="7"/>
  <c r="E70" i="1"/>
  <c r="I70" i="1" s="1"/>
  <c r="E170" i="7" l="1"/>
  <c r="F160" i="7" s="1"/>
  <c r="F17" i="7" l="1"/>
  <c r="F18" i="7"/>
  <c r="F13" i="7"/>
  <c r="F19" i="7"/>
  <c r="F16" i="7"/>
  <c r="F21" i="7"/>
  <c r="F14" i="7"/>
  <c r="F22" i="7"/>
  <c r="F23" i="7"/>
  <c r="F20" i="7"/>
  <c r="F24" i="7"/>
  <c r="F25" i="7"/>
  <c r="F26" i="7"/>
  <c r="F15" i="7"/>
  <c r="H24" i="7" l="1"/>
  <c r="H18" i="7"/>
  <c r="H23" i="7"/>
  <c r="H17" i="7"/>
  <c r="H20" i="7"/>
  <c r="H22" i="7"/>
  <c r="H21" i="7"/>
  <c r="H15" i="7"/>
  <c r="H14" i="7"/>
  <c r="H16" i="7"/>
  <c r="H26" i="7"/>
  <c r="H25" i="7"/>
  <c r="H19" i="7"/>
  <c r="H13" i="7"/>
  <c r="F42" i="7" l="1"/>
  <c r="F44" i="7" s="1"/>
  <c r="G46" i="7" s="1"/>
  <c r="I48" i="7" s="1"/>
  <c r="G32" i="6" s="1"/>
  <c r="E176" i="7" l="1"/>
  <c r="F178" i="7" s="1"/>
  <c r="O18" i="4" l="1"/>
  <c r="N17" i="4"/>
  <c r="N16" i="4"/>
  <c r="N18" i="4" s="1"/>
  <c r="E27" i="11" l="1"/>
  <c r="E26" i="11"/>
  <c r="L18" i="4" l="1"/>
  <c r="E16" i="4" s="1"/>
  <c r="L16" i="4"/>
  <c r="E60" i="1" l="1"/>
  <c r="I60" i="1" s="1"/>
  <c r="E61" i="1"/>
  <c r="I61" i="1" s="1"/>
  <c r="E76" i="1"/>
  <c r="I76" i="1" s="1"/>
  <c r="E78" i="1"/>
  <c r="I78" i="1" s="1"/>
  <c r="E79" i="1"/>
  <c r="I79" i="1" s="1"/>
  <c r="E21" i="1"/>
  <c r="J17" i="5"/>
  <c r="J18" i="5"/>
  <c r="Q91" i="6" l="1"/>
  <c r="Q75" i="6"/>
  <c r="K56" i="6"/>
  <c r="Q56" i="6" s="1"/>
  <c r="K57" i="6"/>
  <c r="Q57" i="6" s="1"/>
  <c r="E11" i="15" l="1"/>
  <c r="G10" i="15" s="1"/>
  <c r="A5" i="15"/>
  <c r="A5" i="12"/>
  <c r="A4" i="15"/>
  <c r="E63" i="6"/>
  <c r="E55" i="6"/>
  <c r="K55" i="6" s="1"/>
  <c r="Q55" i="6" s="1"/>
  <c r="E31" i="6"/>
  <c r="E32" i="6"/>
  <c r="E33" i="6"/>
  <c r="K33" i="6" s="1"/>
  <c r="E34" i="6"/>
  <c r="K34" i="6" s="1"/>
  <c r="E35" i="6"/>
  <c r="K35" i="6" s="1"/>
  <c r="E39" i="6"/>
  <c r="K39" i="6" s="1"/>
  <c r="Q39" i="6" s="1"/>
  <c r="E40" i="6"/>
  <c r="K40" i="6" s="1"/>
  <c r="Q40" i="6" s="1"/>
  <c r="E41" i="6"/>
  <c r="K41" i="6" s="1"/>
  <c r="E44" i="6"/>
  <c r="K44" i="6" s="1"/>
  <c r="Q44" i="6" s="1"/>
  <c r="E45" i="6"/>
  <c r="K45" i="6" s="1"/>
  <c r="Q45" i="6" s="1"/>
  <c r="E46" i="6"/>
  <c r="K46" i="6" s="1"/>
  <c r="Q46" i="6" s="1"/>
  <c r="E48" i="6"/>
  <c r="G48" i="6" s="1"/>
  <c r="E73" i="1" s="1"/>
  <c r="I73" i="1" s="1"/>
  <c r="E49" i="6"/>
  <c r="K49" i="6" s="1"/>
  <c r="Q49" i="6" s="1"/>
  <c r="E50" i="6"/>
  <c r="E51" i="6"/>
  <c r="G51" i="6" s="1"/>
  <c r="E75" i="1" s="1"/>
  <c r="I75" i="1" s="1"/>
  <c r="E52" i="6"/>
  <c r="K53" i="6"/>
  <c r="Q53" i="6" s="1"/>
  <c r="E54" i="6"/>
  <c r="K54" i="6" s="1"/>
  <c r="E30" i="6"/>
  <c r="E69" i="1"/>
  <c r="I69" i="1" s="1"/>
  <c r="E68" i="1"/>
  <c r="I68" i="1" s="1"/>
  <c r="E67" i="1"/>
  <c r="E16" i="6"/>
  <c r="K16" i="6" s="1"/>
  <c r="E17" i="6"/>
  <c r="K17" i="6" s="1"/>
  <c r="E18" i="6"/>
  <c r="K18" i="6" s="1"/>
  <c r="E19" i="6"/>
  <c r="K19" i="6" s="1"/>
  <c r="E20" i="6"/>
  <c r="K20" i="6" s="1"/>
  <c r="E23" i="6"/>
  <c r="K23" i="6" s="1"/>
  <c r="E24" i="6"/>
  <c r="K24" i="6" s="1"/>
  <c r="E25" i="6"/>
  <c r="K25" i="6" s="1"/>
  <c r="E26" i="6"/>
  <c r="K26" i="6" s="1"/>
  <c r="E21" i="6"/>
  <c r="K21" i="6" s="1"/>
  <c r="E14" i="6"/>
  <c r="K14" i="6" s="1"/>
  <c r="E27" i="1" s="1"/>
  <c r="I78" i="3"/>
  <c r="G78" i="3"/>
  <c r="E78" i="3"/>
  <c r="E26" i="3"/>
  <c r="I18" i="2"/>
  <c r="G18" i="2"/>
  <c r="E18" i="2"/>
  <c r="I23" i="2"/>
  <c r="G23" i="2"/>
  <c r="E23" i="2"/>
  <c r="A1" i="13"/>
  <c r="E22" i="1"/>
  <c r="I22" i="1" s="1"/>
  <c r="A3" i="13"/>
  <c r="G23" i="15"/>
  <c r="G22" i="15"/>
  <c r="C20" i="15"/>
  <c r="C26" i="15" s="1"/>
  <c r="G14" i="15"/>
  <c r="I82" i="3"/>
  <c r="G82" i="3"/>
  <c r="E82" i="3"/>
  <c r="A57" i="3"/>
  <c r="A56" i="3"/>
  <c r="I93" i="2"/>
  <c r="G93" i="2"/>
  <c r="E93" i="2"/>
  <c r="I72" i="2"/>
  <c r="G72" i="2"/>
  <c r="E72" i="2"/>
  <c r="I49" i="2"/>
  <c r="G49" i="2"/>
  <c r="E49" i="2"/>
  <c r="I43" i="2"/>
  <c r="G43" i="2"/>
  <c r="E43" i="2"/>
  <c r="I30" i="2"/>
  <c r="G30" i="2"/>
  <c r="E30" i="2"/>
  <c r="E51" i="3"/>
  <c r="E67" i="3" s="1"/>
  <c r="A5" i="9"/>
  <c r="A5" i="11"/>
  <c r="A5" i="5"/>
  <c r="A5" i="7"/>
  <c r="A5" i="8"/>
  <c r="A5" i="6"/>
  <c r="A5" i="3"/>
  <c r="A5" i="2"/>
  <c r="A58" i="2" s="1"/>
  <c r="A50" i="1"/>
  <c r="A5" i="1"/>
  <c r="J1" i="12"/>
  <c r="L1" i="9"/>
  <c r="I1" i="10"/>
  <c r="H1" i="11"/>
  <c r="N1" i="5"/>
  <c r="I1" i="7"/>
  <c r="I1" i="8"/>
  <c r="I44" i="8" s="1"/>
  <c r="I1" i="3"/>
  <c r="E25" i="11"/>
  <c r="E28" i="11" s="1"/>
  <c r="H18" i="11" s="1"/>
  <c r="A61" i="2"/>
  <c r="E10" i="2"/>
  <c r="E63" i="2" s="1"/>
  <c r="B42" i="1"/>
  <c r="A40" i="1"/>
  <c r="E10" i="3"/>
  <c r="I10" i="3" s="1"/>
  <c r="E11" i="6"/>
  <c r="A8" i="2"/>
  <c r="A8" i="3"/>
  <c r="A60" i="3" s="1"/>
  <c r="E60" i="6"/>
  <c r="A4" i="12"/>
  <c r="C63" i="1"/>
  <c r="C84" i="1"/>
  <c r="A63" i="1"/>
  <c r="A4" i="9"/>
  <c r="I17" i="1"/>
  <c r="H15" i="11"/>
  <c r="A4" i="11"/>
  <c r="J14" i="5"/>
  <c r="H23" i="5"/>
  <c r="F23" i="5"/>
  <c r="D23" i="5"/>
  <c r="A4" i="5"/>
  <c r="A4" i="7"/>
  <c r="A4" i="8"/>
  <c r="A4" i="3"/>
  <c r="G27" i="6"/>
  <c r="A4" i="6"/>
  <c r="Q1" i="6"/>
  <c r="G26" i="3"/>
  <c r="G51" i="3"/>
  <c r="G67" i="3" s="1"/>
  <c r="I26" i="3"/>
  <c r="I51" i="3"/>
  <c r="I67" i="3" s="1"/>
  <c r="I87" i="2"/>
  <c r="G87" i="2"/>
  <c r="E87" i="2"/>
  <c r="I79" i="2"/>
  <c r="G79" i="2"/>
  <c r="E79" i="2"/>
  <c r="I67" i="2"/>
  <c r="G67" i="2"/>
  <c r="E67" i="2"/>
  <c r="A57" i="2"/>
  <c r="I54" i="2"/>
  <c r="I1" i="2"/>
  <c r="I46" i="1"/>
  <c r="A4" i="2"/>
  <c r="I56" i="1"/>
  <c r="I55" i="1"/>
  <c r="I53" i="3" s="1"/>
  <c r="E56" i="1"/>
  <c r="E55" i="1"/>
  <c r="C56" i="1"/>
  <c r="C55" i="1"/>
  <c r="A49" i="1"/>
  <c r="A4" i="1"/>
  <c r="I24" i="1"/>
  <c r="C20" i="1"/>
  <c r="C26" i="1" s="1"/>
  <c r="C30" i="1" s="1"/>
  <c r="C34" i="1" s="1"/>
  <c r="I89" i="7" l="1"/>
  <c r="I140" i="7"/>
  <c r="I49" i="7"/>
  <c r="K31" i="6"/>
  <c r="Q31" i="6" s="1"/>
  <c r="K32" i="6"/>
  <c r="Q32" i="6" s="1"/>
  <c r="E65" i="6"/>
  <c r="S65" i="6" s="1"/>
  <c r="G51" i="2"/>
  <c r="Q35" i="6"/>
  <c r="F179" i="7"/>
  <c r="I181" i="7" s="1"/>
  <c r="G63" i="6" s="1"/>
  <c r="E82" i="1" s="1"/>
  <c r="I82" i="1" s="1"/>
  <c r="C36" i="1"/>
  <c r="F13" i="12" s="1"/>
  <c r="Q87" i="6"/>
  <c r="G17" i="15"/>
  <c r="K60" i="6"/>
  <c r="Q60" i="6" s="1"/>
  <c r="Q73" i="6"/>
  <c r="Q26" i="6"/>
  <c r="E28" i="1"/>
  <c r="H28" i="7"/>
  <c r="Q41" i="6"/>
  <c r="J23" i="5"/>
  <c r="Q78" i="6"/>
  <c r="E152" i="7"/>
  <c r="K48" i="6"/>
  <c r="Q48" i="6" s="1"/>
  <c r="G50" i="6"/>
  <c r="I51" i="2"/>
  <c r="E51" i="2"/>
  <c r="E95" i="2"/>
  <c r="G95" i="2"/>
  <c r="I95" i="2"/>
  <c r="E62" i="3"/>
  <c r="I10" i="2"/>
  <c r="I63" i="2" s="1"/>
  <c r="G10" i="2"/>
  <c r="G63" i="2" s="1"/>
  <c r="G10" i="3"/>
  <c r="C86" i="1"/>
  <c r="E63" i="1"/>
  <c r="K51" i="6"/>
  <c r="Q51" i="6" s="1"/>
  <c r="I67" i="1"/>
  <c r="I63" i="1"/>
  <c r="G69" i="3"/>
  <c r="G84" i="3" s="1"/>
  <c r="E27" i="6"/>
  <c r="S28" i="6" s="1"/>
  <c r="I69" i="3"/>
  <c r="I84" i="3" s="1"/>
  <c r="I21" i="1"/>
  <c r="E69" i="3"/>
  <c r="E84" i="3" s="1"/>
  <c r="K27" i="6"/>
  <c r="F133" i="7" l="1"/>
  <c r="F135" i="7" s="1"/>
  <c r="I138" i="7" s="1"/>
  <c r="G52" i="6" s="1"/>
  <c r="K52" i="6" s="1"/>
  <c r="Q34" i="6"/>
  <c r="E153" i="7"/>
  <c r="E154" i="7" s="1"/>
  <c r="F156" i="7" s="1"/>
  <c r="F158" i="7" s="1"/>
  <c r="J31" i="5"/>
  <c r="E15" i="1" s="1"/>
  <c r="K63" i="6"/>
  <c r="E14" i="1" s="1"/>
  <c r="I14" i="1" s="1"/>
  <c r="F16" i="12"/>
  <c r="F26" i="12"/>
  <c r="F38" i="12"/>
  <c r="F24" i="12"/>
  <c r="F17" i="12"/>
  <c r="F27" i="12"/>
  <c r="F39" i="12"/>
  <c r="F36" i="12"/>
  <c r="F20" i="12"/>
  <c r="F30" i="12"/>
  <c r="F40" i="12"/>
  <c r="F23" i="12"/>
  <c r="F37" i="12"/>
  <c r="F21" i="12"/>
  <c r="F31" i="12"/>
  <c r="F35" i="12"/>
  <c r="F25" i="12"/>
  <c r="F22" i="12"/>
  <c r="F34" i="12"/>
  <c r="F14" i="12"/>
  <c r="F15" i="12"/>
  <c r="I30" i="7"/>
  <c r="G30" i="6" s="1"/>
  <c r="K30" i="6" s="1"/>
  <c r="I28" i="1"/>
  <c r="K50" i="6"/>
  <c r="Q50" i="6" s="1"/>
  <c r="E74" i="1"/>
  <c r="I74" i="1" s="1"/>
  <c r="Q33" i="6"/>
  <c r="H12" i="11"/>
  <c r="I98" i="2"/>
  <c r="I62" i="3"/>
  <c r="G62" i="3"/>
  <c r="I27" i="1"/>
  <c r="E67" i="6"/>
  <c r="S67" i="6" s="1"/>
  <c r="G98" i="2"/>
  <c r="E98" i="2"/>
  <c r="F162" i="7" l="1"/>
  <c r="I164" i="7" s="1"/>
  <c r="G58" i="6" s="1"/>
  <c r="E77" i="1"/>
  <c r="I77" i="1" s="1"/>
  <c r="G18" i="15"/>
  <c r="G15" i="15"/>
  <c r="Q77" i="6"/>
  <c r="I15" i="1"/>
  <c r="Q86" i="6"/>
  <c r="H11" i="11"/>
  <c r="Q63" i="6"/>
  <c r="E66" i="1"/>
  <c r="K58" i="6" l="1"/>
  <c r="Q58" i="6" s="1"/>
  <c r="G65" i="6"/>
  <c r="G67" i="6" s="1"/>
  <c r="E13" i="1"/>
  <c r="E80" i="1"/>
  <c r="I80" i="1" s="1"/>
  <c r="I18" i="1"/>
  <c r="Q79" i="6"/>
  <c r="Q30" i="6"/>
  <c r="I66" i="1"/>
  <c r="H10" i="11"/>
  <c r="H14" i="11" s="1"/>
  <c r="H17" i="11" s="1"/>
  <c r="K65" i="6" l="1"/>
  <c r="K67" i="6" s="1"/>
  <c r="I13" i="1"/>
  <c r="E84" i="1"/>
  <c r="H19" i="11"/>
  <c r="H22" i="11" s="1"/>
  <c r="E16" i="1" s="1"/>
  <c r="E20" i="1" s="1"/>
  <c r="E26" i="1" s="1"/>
  <c r="E30" i="1" s="1"/>
  <c r="G13" i="15"/>
  <c r="I84" i="1" l="1"/>
  <c r="E86" i="1"/>
  <c r="E89" i="1"/>
  <c r="I16" i="1"/>
  <c r="I20" i="1" s="1"/>
  <c r="I26" i="1" s="1"/>
  <c r="I30" i="1" s="1"/>
  <c r="I86" i="1"/>
  <c r="G16" i="15"/>
  <c r="G20" i="15" s="1"/>
  <c r="G26" i="15" s="1"/>
  <c r="E20" i="15"/>
  <c r="E32" i="1" l="1"/>
  <c r="E31" i="1"/>
  <c r="Q92" i="6"/>
  <c r="M54" i="6" l="1"/>
  <c r="Q54" i="6" s="1"/>
  <c r="M52" i="6"/>
  <c r="M65" i="6" s="1"/>
  <c r="E34" i="1"/>
  <c r="E36" i="1" s="1"/>
  <c r="E42" i="1" s="1"/>
  <c r="I32" i="1"/>
  <c r="I31" i="1"/>
  <c r="I34" i="1" s="1"/>
  <c r="Q52" i="6" l="1"/>
  <c r="Q65" i="6" s="1"/>
  <c r="I42" i="1"/>
  <c r="M27" i="6"/>
  <c r="M19" i="6" s="1"/>
  <c r="Q19" i="6" s="1"/>
  <c r="M21" i="6"/>
  <c r="Q21" i="6" s="1"/>
  <c r="H23" i="12"/>
  <c r="J23" i="12" s="1"/>
  <c r="I36" i="1"/>
  <c r="H16" i="12"/>
  <c r="J16" i="12" s="1"/>
  <c r="H21" i="12"/>
  <c r="J21" i="12" s="1"/>
  <c r="H24" i="12"/>
  <c r="J24" i="12" s="1"/>
  <c r="H26" i="12"/>
  <c r="J26" i="12" s="1"/>
  <c r="H17" i="12"/>
  <c r="J17" i="12" s="1"/>
  <c r="H25" i="12"/>
  <c r="J25" i="12" s="1"/>
  <c r="H36" i="12"/>
  <c r="J36" i="12" s="1"/>
  <c r="H15" i="12"/>
  <c r="J15" i="12" s="1"/>
  <c r="H39" i="12"/>
  <c r="J39" i="12" s="1"/>
  <c r="H20" i="12"/>
  <c r="J20" i="12" s="1"/>
  <c r="H22" i="12"/>
  <c r="J22" i="12" s="1"/>
  <c r="H30" i="12"/>
  <c r="J30" i="12" s="1"/>
  <c r="H34" i="12"/>
  <c r="J34" i="12" s="1"/>
  <c r="H37" i="12"/>
  <c r="J37" i="12" s="1"/>
  <c r="H13" i="12"/>
  <c r="H38" i="12"/>
  <c r="J38" i="12" s="1"/>
  <c r="H14" i="12"/>
  <c r="H35" i="12"/>
  <c r="J35" i="12" s="1"/>
  <c r="H31" i="12"/>
  <c r="J31" i="12" s="1"/>
  <c r="H27" i="12"/>
  <c r="J27" i="12" s="1"/>
  <c r="H40" i="12"/>
  <c r="J40" i="12" s="1"/>
  <c r="M24" i="6"/>
  <c r="Q24" i="6" s="1"/>
  <c r="M17" i="6"/>
  <c r="Q17" i="6" s="1"/>
  <c r="M20" i="6"/>
  <c r="Q20" i="6" s="1"/>
  <c r="M25" i="6"/>
  <c r="Q25" i="6" s="1"/>
  <c r="M16" i="6"/>
  <c r="Q16" i="6" s="1"/>
  <c r="M23" i="6"/>
  <c r="Q23" i="6" s="1"/>
  <c r="M67" i="6"/>
  <c r="M18" i="6" l="1"/>
  <c r="Q18" i="6" s="1"/>
  <c r="J14" i="12"/>
  <c r="J13" i="12"/>
  <c r="M14" i="6"/>
  <c r="Q14" i="6" s="1"/>
  <c r="Q27" i="6" s="1"/>
  <c r="Q67" i="6" s="1"/>
  <c r="Q71" i="6" s="1"/>
  <c r="Q81" i="6" s="1"/>
  <c r="Q93" i="6" l="1"/>
  <c r="Q9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 Stull</author>
    <author>mstull</author>
  </authors>
  <commentList>
    <comment ref="C8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M Stull:</t>
        </r>
        <r>
          <rPr>
            <sz val="10"/>
            <color indexed="81"/>
            <rFont val="Tahoma"/>
            <family val="2"/>
          </rPr>
          <t xml:space="preserve">
Input month and day test year ends as text, i.e., 'January 31</t>
        </r>
      </text>
    </comment>
    <comment ref="E8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M Stull:</t>
        </r>
        <r>
          <rPr>
            <sz val="10"/>
            <color indexed="81"/>
            <rFont val="Tahoma"/>
            <family val="2"/>
          </rPr>
          <t xml:space="preserve">
Input year test year ends
</t>
        </r>
      </text>
    </comment>
    <comment ref="C9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M Stull:</t>
        </r>
        <r>
          <rPr>
            <sz val="10"/>
            <color indexed="81"/>
            <rFont val="Tahoma"/>
            <family val="2"/>
          </rPr>
          <t xml:space="preserve">
Input in date format, i.e., 01/31/05</t>
        </r>
      </text>
    </comment>
    <comment ref="C12" authorId="1" shapeId="0" xr:uid="{4F0E1DF4-3B5D-44A0-8191-7E925526DDF2}">
      <text>
        <r>
          <rPr>
            <b/>
            <sz val="14"/>
            <color indexed="81"/>
            <rFont val="Tahoma"/>
            <family val="2"/>
          </rPr>
          <t>mstull:</t>
        </r>
        <r>
          <rPr>
            <sz val="14"/>
            <color indexed="81"/>
            <rFont val="Tahoma"/>
            <family val="2"/>
          </rPr>
          <t xml:space="preserve">
Input preparer's 2 or 3 digit initials.
Example - "MAS" for Margaret Stull</t>
        </r>
      </text>
    </comment>
    <comment ref="C14" authorId="0" shapeId="0" xr:uid="{36EC698B-93F3-4AFE-B210-A2FE65BF7611}">
      <text>
        <r>
          <rPr>
            <b/>
            <sz val="10"/>
            <color indexed="81"/>
            <rFont val="Tahoma"/>
            <family val="2"/>
          </rPr>
          <t>M Stull:</t>
        </r>
        <r>
          <rPr>
            <sz val="10"/>
            <color indexed="81"/>
            <rFont val="Tahoma"/>
            <family val="2"/>
          </rPr>
          <t xml:space="preserve">
See Shawn Dellinger for current interest rate
</t>
        </r>
      </text>
    </comment>
    <comment ref="C16" authorId="1" shapeId="0" xr:uid="{0F0ED8E4-98C7-4FB0-B909-3632D2F7B916}">
      <text>
        <r>
          <rPr>
            <b/>
            <sz val="14"/>
            <color indexed="81"/>
            <rFont val="Tahoma"/>
            <family val="2"/>
          </rPr>
          <t>mstull:</t>
        </r>
        <r>
          <rPr>
            <sz val="14"/>
            <color indexed="81"/>
            <rFont val="Tahoma"/>
            <family val="2"/>
          </rPr>
          <t xml:space="preserve">
Input appropriate code for gallons or cubic feet from Column G.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 Stull</author>
  </authors>
  <commentList>
    <comment ref="H12" authorId="0" shapeId="0" xr:uid="{00000000-0006-0000-0900-000002000000}">
      <text>
        <r>
          <rPr>
            <b/>
            <sz val="10"/>
            <color indexed="81"/>
            <rFont val="Tahoma"/>
            <family val="2"/>
          </rPr>
          <t>M Stull:</t>
        </r>
        <r>
          <rPr>
            <sz val="10"/>
            <color indexed="81"/>
            <rFont val="Tahoma"/>
            <family val="2"/>
          </rPr>
          <t xml:space="preserve">
Input total of test year expense +/- any adjustments from Schedule 6
</t>
        </r>
      </text>
    </comment>
    <comment ref="H20" authorId="0" shapeId="0" xr:uid="{00000000-0006-0000-0900-000004000000}">
      <text>
        <r>
          <rPr>
            <b/>
            <sz val="10"/>
            <color indexed="81"/>
            <rFont val="Tahoma"/>
            <family val="2"/>
          </rPr>
          <t>M Stull:</t>
        </r>
        <r>
          <rPr>
            <sz val="10"/>
            <color indexed="81"/>
            <rFont val="Tahoma"/>
            <family val="2"/>
          </rPr>
          <t xml:space="preserve">
Normally allocate working capital requirement over a 3 year period but period can be increased or decreased depending upon the circumstances
</t>
        </r>
      </text>
    </comment>
  </commentList>
</comments>
</file>

<file path=xl/sharedStrings.xml><?xml version="1.0" encoding="utf-8"?>
<sst xmlns="http://schemas.openxmlformats.org/spreadsheetml/2006/main" count="641" uniqueCount="454">
  <si>
    <t>Office of Utility Consumer Counselor</t>
  </si>
  <si>
    <t>Schedules and Workpapers  (Excel Version)</t>
  </si>
  <si>
    <t>Template - Not For Profit Utility</t>
  </si>
  <si>
    <t>Inputs &amp; Check Numbers</t>
  </si>
  <si>
    <t>Manual Input</t>
  </si>
  <si>
    <t>Calculation</t>
  </si>
  <si>
    <t>Utility Name</t>
  </si>
  <si>
    <t>Eastern Heights Utilities, Inc.</t>
  </si>
  <si>
    <t>Cause Number</t>
  </si>
  <si>
    <t>46084-U</t>
  </si>
  <si>
    <t>Test Year Ending</t>
  </si>
  <si>
    <t>December 31</t>
  </si>
  <si>
    <t>IURC Fee</t>
  </si>
  <si>
    <t>As of 7/2024</t>
  </si>
  <si>
    <t xml:space="preserve">Update annually in July </t>
  </si>
  <si>
    <t>Workpaper Name</t>
  </si>
  <si>
    <t>TWM</t>
  </si>
  <si>
    <t>Interest Rate</t>
  </si>
  <si>
    <t>4,000</t>
  </si>
  <si>
    <t>Cell C18 input codes</t>
  </si>
  <si>
    <t>Current</t>
  </si>
  <si>
    <t>Gallons</t>
  </si>
  <si>
    <t>Current Rate for 4,000 Gallons</t>
  </si>
  <si>
    <t>Current Rate for 700 cubic feet</t>
  </si>
  <si>
    <t>Cubic Feet</t>
  </si>
  <si>
    <t>Bad Debt %</t>
  </si>
  <si>
    <t>Based on test year experience</t>
  </si>
  <si>
    <t>OUCC</t>
  </si>
  <si>
    <t>Schedule 1</t>
  </si>
  <si>
    <t>Page 1 of 2</t>
  </si>
  <si>
    <t>Comparison of Petitioner's and OUCC's</t>
  </si>
  <si>
    <t>Revenue Requirements</t>
  </si>
  <si>
    <t>Per</t>
  </si>
  <si>
    <t>Sch</t>
  </si>
  <si>
    <t>Petitioner</t>
  </si>
  <si>
    <t>Ref</t>
  </si>
  <si>
    <t>More (Less)</t>
  </si>
  <si>
    <t>Operating Expenses</t>
  </si>
  <si>
    <t>Taxes other than Income (Payroll)</t>
  </si>
  <si>
    <t>Extensions and Replacements</t>
  </si>
  <si>
    <t>Working Capital</t>
  </si>
  <si>
    <t>Debt Service</t>
  </si>
  <si>
    <t>Debt Service Reserve</t>
  </si>
  <si>
    <t>Total Revenue Requirements</t>
  </si>
  <si>
    <t>Less:</t>
  </si>
  <si>
    <t>Interest Income</t>
  </si>
  <si>
    <t>Other Income</t>
  </si>
  <si>
    <t>Other Income (below the line)</t>
  </si>
  <si>
    <t>Net Revenue Requirements</t>
  </si>
  <si>
    <t>Revenues at current rates subject to increase</t>
  </si>
  <si>
    <t>Other revenues at current rates</t>
  </si>
  <si>
    <t>Net Revenue Increase Required</t>
  </si>
  <si>
    <t>Add:</t>
  </si>
  <si>
    <t>Additional IURC Fees</t>
  </si>
  <si>
    <t>Additional Bad Debt Expense</t>
  </si>
  <si>
    <t>Recommended Increase</t>
  </si>
  <si>
    <t>Recommended Percentage Increase</t>
  </si>
  <si>
    <t>Proposed</t>
  </si>
  <si>
    <t>Page 2 of 2</t>
  </si>
  <si>
    <t>Reconciliation of Net Operating Income Statement Adjustments</t>
  </si>
  <si>
    <r>
      <t>Pro-forma</t>
    </r>
    <r>
      <rPr>
        <b/>
        <sz val="12"/>
        <rFont val="Times New Roman"/>
        <family val="1"/>
      </rPr>
      <t xml:space="preserve"> Present Rates</t>
    </r>
  </si>
  <si>
    <t>Water Sales</t>
  </si>
  <si>
    <t>Residential</t>
  </si>
  <si>
    <t>Commercial</t>
  </si>
  <si>
    <t>Miscellaneous Service Revenues</t>
  </si>
  <si>
    <t>Salaries &amp; Wages - Employees</t>
  </si>
  <si>
    <t>Pensions &amp; Benefits</t>
  </si>
  <si>
    <t>Purchased power</t>
  </si>
  <si>
    <t>Chemicals</t>
  </si>
  <si>
    <t>Periodic Maintenance</t>
  </si>
  <si>
    <t>Contractual Services - Legal</t>
  </si>
  <si>
    <t>Insurance</t>
  </si>
  <si>
    <t>Vehicle</t>
  </si>
  <si>
    <t>Workman's Compensation</t>
  </si>
  <si>
    <t>Other</t>
  </si>
  <si>
    <t>Amortization of Rate Case Exp</t>
  </si>
  <si>
    <t>Other-Additional Payroll Related</t>
  </si>
  <si>
    <t>Other-Additional Postage Expense</t>
  </si>
  <si>
    <t>System Delivery</t>
  </si>
  <si>
    <t>Amortization Expense</t>
  </si>
  <si>
    <t>Payroll Taxes</t>
  </si>
  <si>
    <t>Total Operating Expenses</t>
  </si>
  <si>
    <t>Check Number</t>
  </si>
  <si>
    <t>Net Operating Income</t>
  </si>
  <si>
    <t>check number</t>
  </si>
  <si>
    <t>Schedule 2</t>
  </si>
  <si>
    <t>COMPARATIVE BALANCE SHEET</t>
  </si>
  <si>
    <t>ASSETS</t>
  </si>
  <si>
    <t>Utility Plant:</t>
  </si>
  <si>
    <t>Utility Plant in Service</t>
  </si>
  <si>
    <t>Construction Work in Progress</t>
  </si>
  <si>
    <t>Less:  Accumulated Depreciation</t>
  </si>
  <si>
    <t xml:space="preserve">         Accumulated Amortization</t>
  </si>
  <si>
    <t>Utility Plant Acquisition Adjustment (Net)</t>
  </si>
  <si>
    <t>Net Utility Plant in Service</t>
  </si>
  <si>
    <t>Other Property &amp; Investments</t>
  </si>
  <si>
    <t>Nonutility Property (land and building)</t>
  </si>
  <si>
    <t>Less: Accumulated Depreciation and Amortization of Nonutility Property</t>
  </si>
  <si>
    <t>Net Nonutility Property</t>
  </si>
  <si>
    <t>Restricted Assets:</t>
  </si>
  <si>
    <t>Debt Service Fund</t>
  </si>
  <si>
    <t>Depreciation reserve</t>
  </si>
  <si>
    <t>Maintenance Reserve</t>
  </si>
  <si>
    <t>Total Restricted Assets</t>
  </si>
  <si>
    <t>Current Assets:</t>
  </si>
  <si>
    <t>Cash and Cash Equivalents</t>
  </si>
  <si>
    <t>Special Deposits (Restricted Cash)</t>
  </si>
  <si>
    <t>Other Special Deposits (Reserve for Utility Plant Improvements)</t>
  </si>
  <si>
    <t>Working Funds</t>
  </si>
  <si>
    <t>Temporary Cash Investments</t>
  </si>
  <si>
    <t>Customer Accounts Receivable</t>
  </si>
  <si>
    <t>Other Accounts Receivable</t>
  </si>
  <si>
    <t>Materials &amp; Supplies Inventory</t>
  </si>
  <si>
    <t>Prepayments</t>
  </si>
  <si>
    <t>Other Current Assets</t>
  </si>
  <si>
    <t>Total Current Assets</t>
  </si>
  <si>
    <t>Deferred Debits</t>
  </si>
  <si>
    <t>Deferred Regulatory Asset</t>
  </si>
  <si>
    <t>Unamortized Debt Discount and Expense</t>
  </si>
  <si>
    <t>Other Deferred Debits</t>
  </si>
  <si>
    <t>Total Deferred Debits</t>
  </si>
  <si>
    <t>Total Assets</t>
  </si>
  <si>
    <t>LIABILITIES</t>
  </si>
  <si>
    <t>Equity</t>
  </si>
  <si>
    <t>Retained Earnings</t>
  </si>
  <si>
    <t>Paid in Capital</t>
  </si>
  <si>
    <t>Total Equity</t>
  </si>
  <si>
    <t>Contributions in Aid of Construction</t>
  </si>
  <si>
    <t>Contributions in Aid of Construction, net</t>
  </si>
  <si>
    <t>Accumulated Amortization of CIAC</t>
  </si>
  <si>
    <t>Net Contributions-in-aid of Construction</t>
  </si>
  <si>
    <t>Long-term Debt</t>
  </si>
  <si>
    <t>RD #9111</t>
  </si>
  <si>
    <t>RD #9113</t>
  </si>
  <si>
    <t>RD #9115</t>
  </si>
  <si>
    <t>Rural Development Loan</t>
  </si>
  <si>
    <t>Total Long-term Debt</t>
  </si>
  <si>
    <t>Current Liabilities</t>
  </si>
  <si>
    <t>Accounts Payable</t>
  </si>
  <si>
    <t>Notes Payable</t>
  </si>
  <si>
    <t>Customer Deposits</t>
  </si>
  <si>
    <t>Accrued Taxes Payable</t>
  </si>
  <si>
    <t>Accrued Interest Payable</t>
  </si>
  <si>
    <t>Total Current Liabilities</t>
  </si>
  <si>
    <t>Deferred Credits:</t>
  </si>
  <si>
    <t>Unamortized Premium on Debt</t>
  </si>
  <si>
    <t>F-13 - Unamortized Premium on Debt</t>
  </si>
  <si>
    <t>Advances for Construction</t>
  </si>
  <si>
    <t>F-19 - Advances for Construction</t>
  </si>
  <si>
    <t>Other Deferred Credits</t>
  </si>
  <si>
    <t>F-18 - Deferred Rate Case Expense/Amortization Expense</t>
  </si>
  <si>
    <t>Total Deferred Credits</t>
  </si>
  <si>
    <t>Total Liabilities</t>
  </si>
  <si>
    <t>Check Numbers</t>
  </si>
  <si>
    <t>Schedule 3</t>
  </si>
  <si>
    <t>COMPARATIVE INCOME STATEMENT</t>
  </si>
  <si>
    <t>Operating Revenues</t>
  </si>
  <si>
    <t>Industrial</t>
  </si>
  <si>
    <t>Public Authority</t>
  </si>
  <si>
    <t>Multi-Family</t>
  </si>
  <si>
    <t>Sales for Resale</t>
  </si>
  <si>
    <t>Unmetered Water Sales</t>
  </si>
  <si>
    <t>Fire Protection</t>
  </si>
  <si>
    <t>Public</t>
  </si>
  <si>
    <t>Private</t>
  </si>
  <si>
    <t>Late Payment Fees</t>
  </si>
  <si>
    <t>Other Water Revenues</t>
  </si>
  <si>
    <t>Total Operating Revenues</t>
  </si>
  <si>
    <t>Salaries &amp; Wages - Officers</t>
  </si>
  <si>
    <t>Materials &amp; Supplies</t>
  </si>
  <si>
    <t>Contractual Services</t>
  </si>
  <si>
    <t>Engineering</t>
  </si>
  <si>
    <t>Accounting</t>
  </si>
  <si>
    <t>Legal</t>
  </si>
  <si>
    <t>Other/Testing</t>
  </si>
  <si>
    <t>Transportation</t>
  </si>
  <si>
    <t>General Liability</t>
  </si>
  <si>
    <t>Regulatory Commission Expense</t>
  </si>
  <si>
    <t>Bad debt expense</t>
  </si>
  <si>
    <t>Miscellaneous Expense</t>
  </si>
  <si>
    <t>Total O&amp;M Expense</t>
  </si>
  <si>
    <t>Depreciation Expense</t>
  </si>
  <si>
    <t>Taxes Other than Income</t>
  </si>
  <si>
    <t>Other Income (Expense)</t>
  </si>
  <si>
    <t>Income From Utility Plant Leased to Others</t>
  </si>
  <si>
    <t>Gain / Loss from Disposition of Utility Property</t>
  </si>
  <si>
    <t>Interest &amp; Dividend Income</t>
  </si>
  <si>
    <t>Nonutility Income</t>
  </si>
  <si>
    <t>Misc. Non-Utility Exp</t>
  </si>
  <si>
    <t>Total Other Income (Expenses)</t>
  </si>
  <si>
    <t>Interest Expenses</t>
  </si>
  <si>
    <t>Interest Expense</t>
  </si>
  <si>
    <t>Total Interest Expense</t>
  </si>
  <si>
    <t>Net Income</t>
  </si>
  <si>
    <t>Check Number Change in Retain Earrings less Net Income</t>
  </si>
  <si>
    <t>Schedule 4</t>
  </si>
  <si>
    <t>Page 1 of 1</t>
  </si>
  <si>
    <r>
      <t>Pro Forma</t>
    </r>
    <r>
      <rPr>
        <b/>
        <sz val="12"/>
        <rFont val="Times New Roman"/>
        <family val="1"/>
      </rPr>
      <t xml:space="preserve"> Net Operating Income Statement</t>
    </r>
  </si>
  <si>
    <t>Test Year</t>
  </si>
  <si>
    <t>Pro Forma</t>
  </si>
  <si>
    <t>Ended</t>
  </si>
  <si>
    <t>Present</t>
  </si>
  <si>
    <t>Adjustments</t>
  </si>
  <si>
    <t>Rates</t>
  </si>
  <si>
    <t>5-1</t>
  </si>
  <si>
    <t>5-2</t>
  </si>
  <si>
    <t>PET</t>
  </si>
  <si>
    <t>O&amp;M Expense</t>
  </si>
  <si>
    <t>6-1</t>
  </si>
  <si>
    <t>Employee Benefits</t>
  </si>
  <si>
    <t>6-2</t>
  </si>
  <si>
    <t>6-3</t>
  </si>
  <si>
    <t>Asset Mngmt Plan</t>
  </si>
  <si>
    <t>6-4</t>
  </si>
  <si>
    <t xml:space="preserve">     Out of period</t>
  </si>
  <si>
    <t>6-5</t>
  </si>
  <si>
    <t xml:space="preserve">     Non-recurring</t>
  </si>
  <si>
    <t>6-6</t>
  </si>
  <si>
    <t>6-8</t>
  </si>
  <si>
    <t>6-7</t>
  </si>
  <si>
    <t xml:space="preserve">    </t>
  </si>
  <si>
    <t>Additional Payroll Related</t>
  </si>
  <si>
    <t>Additional Postage Expense</t>
  </si>
  <si>
    <t>6-9</t>
  </si>
  <si>
    <t>6-10</t>
  </si>
  <si>
    <t>Check:</t>
  </si>
  <si>
    <t>NOI - Sch. 4</t>
  </si>
  <si>
    <t>Add Back:</t>
  </si>
  <si>
    <t xml:space="preserve">       Depreciation Expense</t>
  </si>
  <si>
    <t xml:space="preserve">        Amortization Expense</t>
  </si>
  <si>
    <t xml:space="preserve">        Other Income</t>
  </si>
  <si>
    <t>Deduct From Sch. 1:</t>
  </si>
  <si>
    <t xml:space="preserve">        E&amp;R</t>
  </si>
  <si>
    <t xml:space="preserve">        Debt Service</t>
  </si>
  <si>
    <t xml:space="preserve">        Debt Service Reserve</t>
  </si>
  <si>
    <t>Adjusted Net Income (s/b zero)</t>
  </si>
  <si>
    <t>E&amp;R Over Depreciation</t>
  </si>
  <si>
    <t>Amortization Expenses</t>
  </si>
  <si>
    <t>Less:  Other Income</t>
  </si>
  <si>
    <t>Compare to NOI</t>
  </si>
  <si>
    <t>Difference</t>
  </si>
  <si>
    <t>Schedule 5</t>
  </si>
  <si>
    <t>OUCC Revenue Adjustments</t>
  </si>
  <si>
    <t>(1)</t>
  </si>
  <si>
    <t>Residential Customer Count</t>
  </si>
  <si>
    <t>Adjustment to capture changes in the number of residential customers during the test year.</t>
  </si>
  <si>
    <t>Customer Count 12/31/2023</t>
  </si>
  <si>
    <t>Times: 12 Months</t>
  </si>
  <si>
    <t>Total Customer Billings</t>
  </si>
  <si>
    <t>Less: Actual Residential Test Year Billings</t>
  </si>
  <si>
    <t>Net Increase in Customer Billings</t>
  </si>
  <si>
    <t>Times: Average Residential Customer Bill</t>
  </si>
  <si>
    <t>Adjustment Increase (Decrease)</t>
  </si>
  <si>
    <t>2023 Customer Counts:</t>
  </si>
  <si>
    <t>Months</t>
  </si>
  <si>
    <t>#</t>
  </si>
  <si>
    <t>Jan</t>
  </si>
  <si>
    <t>Test Year Residential Sales</t>
  </si>
  <si>
    <t>(A)</t>
  </si>
  <si>
    <t>Feb</t>
  </si>
  <si>
    <t>Divided by:  Total Residential Billings</t>
  </si>
  <si>
    <t>Mar</t>
  </si>
  <si>
    <t>Average Monthly Bill</t>
  </si>
  <si>
    <t>Apr</t>
  </si>
  <si>
    <t>May</t>
  </si>
  <si>
    <t>Jun</t>
  </si>
  <si>
    <t>Jul</t>
  </si>
  <si>
    <t>(A) Includes unmetered water sales per Applicant's Small Utility Application, Schedule 5 - Rev Adj (3), cell G28.</t>
  </si>
  <si>
    <t>Aug</t>
  </si>
  <si>
    <t>Sep</t>
  </si>
  <si>
    <t>Oct</t>
  </si>
  <si>
    <t>Nov</t>
  </si>
  <si>
    <t>Dec</t>
  </si>
  <si>
    <t xml:space="preserve">     Total</t>
  </si>
  <si>
    <t>(2)</t>
  </si>
  <si>
    <t>Post-test Year Residential Customer Growth</t>
  </si>
  <si>
    <t>To adjust test year revenue for post-test year residential growth.</t>
  </si>
  <si>
    <t>Customer Count 7/31/2024</t>
  </si>
  <si>
    <t>Less: Customer Count 12/31/2023</t>
  </si>
  <si>
    <t>Customers added in adjustment Period</t>
  </si>
  <si>
    <t>2024 Customer Counts:</t>
  </si>
  <si>
    <t>Post Test Year Residential Sales</t>
  </si>
  <si>
    <t>Schedule 6</t>
  </si>
  <si>
    <t>Page 1 of 4</t>
  </si>
  <si>
    <t>OUCC Expense Adjustments</t>
  </si>
  <si>
    <t>Salaries and Wages</t>
  </si>
  <si>
    <t>Adjustment to account for salary and wage increases.</t>
  </si>
  <si>
    <t>Current Rate</t>
  </si>
  <si>
    <t>Reg Hours</t>
  </si>
  <si>
    <t>Overtime</t>
  </si>
  <si>
    <t>Reg Wages</t>
  </si>
  <si>
    <t>Overtime Wages</t>
  </si>
  <si>
    <t>Total Wages</t>
  </si>
  <si>
    <t>Office Manager</t>
  </si>
  <si>
    <t>General Manager</t>
  </si>
  <si>
    <t>Locator</t>
  </si>
  <si>
    <t>Clerk/Data Processor</t>
  </si>
  <si>
    <t>Superintendent</t>
  </si>
  <si>
    <t>Laborer/Operator</t>
  </si>
  <si>
    <t>Meter Reader</t>
  </si>
  <si>
    <t>Laborer/Serviceman</t>
  </si>
  <si>
    <t>Laborer</t>
  </si>
  <si>
    <r>
      <rPr>
        <i/>
        <sz val="12"/>
        <rFont val="Times New Roman"/>
        <family val="1"/>
      </rPr>
      <t>Pro-forma</t>
    </r>
    <r>
      <rPr>
        <sz val="12"/>
        <rFont val="Times New Roman"/>
        <family val="1"/>
      </rPr>
      <t xml:space="preserve"> Salaries and Wages</t>
    </r>
  </si>
  <si>
    <t>Less:  Test Year Expense</t>
  </si>
  <si>
    <t>To adjust health care, life and dental benefits.  Add additional retirement benefit for increased salaries</t>
  </si>
  <si>
    <r>
      <rPr>
        <i/>
        <sz val="12"/>
        <rFont val="Times New Roman"/>
        <family val="1"/>
      </rPr>
      <t>Pro forma</t>
    </r>
    <r>
      <rPr>
        <sz val="12"/>
        <rFont val="Times New Roman"/>
        <family val="1"/>
      </rPr>
      <t xml:space="preserve"> employee insurance expense</t>
    </r>
  </si>
  <si>
    <t>Test year employee insurance expense</t>
  </si>
  <si>
    <t>To calculate the additional retirement benefit for the increased salaries proposed in Adjustment 1</t>
  </si>
  <si>
    <r>
      <rPr>
        <i/>
        <sz val="12"/>
        <rFont val="Times New Roman"/>
        <family val="1"/>
      </rPr>
      <t>Pro forma</t>
    </r>
    <r>
      <rPr>
        <sz val="12"/>
        <rFont val="Times New Roman"/>
        <family val="1"/>
      </rPr>
      <t xml:space="preserve"> Salaries and Wages</t>
    </r>
  </si>
  <si>
    <t>Retirement Benefit Rate</t>
  </si>
  <si>
    <r>
      <rPr>
        <i/>
        <sz val="12"/>
        <rFont val="Times New Roman"/>
        <family val="1"/>
      </rPr>
      <t>Pro-forma</t>
    </r>
    <r>
      <rPr>
        <sz val="12"/>
        <rFont val="Times New Roman"/>
        <family val="1"/>
      </rPr>
      <t xml:space="preserve"> Retirement Benefit</t>
    </r>
  </si>
  <si>
    <t>Page 2 of 4</t>
  </si>
  <si>
    <t>(3)</t>
  </si>
  <si>
    <t>Pro forma annual periodic maintenance expense for tank, well , and treatment maintenance.</t>
  </si>
  <si>
    <t>(1) Tank Painting/Cleaning</t>
  </si>
  <si>
    <t>Amortizations (years)</t>
  </si>
  <si>
    <t>(2) Wells Cleanings &amp; Well Pump Main</t>
  </si>
  <si>
    <t>(3) Booster Pumps</t>
  </si>
  <si>
    <t>Total Yearly Expense</t>
  </si>
  <si>
    <t>Less: Test year Expense</t>
  </si>
  <si>
    <t>Proposed Adj.</t>
  </si>
  <si>
    <t>(4)</t>
  </si>
  <si>
    <t>Asset management Plan</t>
  </si>
  <si>
    <t>Amortize asset management plan over its useful life of five (5) years.</t>
  </si>
  <si>
    <t>Asset Management Plan</t>
  </si>
  <si>
    <t>Divided by: Useful life 5 years</t>
  </si>
  <si>
    <t>Page 3 of 4</t>
  </si>
  <si>
    <t>(5)</t>
  </si>
  <si>
    <t>Contractual Services - Legal Expenses</t>
  </si>
  <si>
    <t>Remove out of period legal expense paid during the test year.  Todd R. Corn invoice dated April 30, 2023</t>
  </si>
  <si>
    <t>Hours occurring outside the test year</t>
  </si>
  <si>
    <t>Rate Per Hour</t>
  </si>
  <si>
    <t>(6)</t>
  </si>
  <si>
    <t>Removal of non-recurring legal fees associated with a special project.</t>
  </si>
  <si>
    <t>Non-recurring legal fees</t>
  </si>
  <si>
    <r>
      <t xml:space="preserve">Note: </t>
    </r>
    <r>
      <rPr>
        <i/>
        <sz val="12"/>
        <rFont val="Times New Roman"/>
        <family val="1"/>
      </rPr>
      <t>Bose McKinney &amp; Evans and Jones McGlasson &amp; Seifers 2023 invoices</t>
    </r>
    <r>
      <rPr>
        <sz val="12"/>
        <rFont val="Times New Roman"/>
        <family val="1"/>
      </rPr>
      <t xml:space="preserve"> Attachment TWM 2 (Redacted)</t>
    </r>
  </si>
  <si>
    <t>(7)</t>
  </si>
  <si>
    <t>Rate Case Expense</t>
  </si>
  <si>
    <t>To adjust test year operating expenses to include the costs associated with this rate case.</t>
  </si>
  <si>
    <t xml:space="preserve">Accounting Expense </t>
  </si>
  <si>
    <t>Engineering Fees</t>
  </si>
  <si>
    <t>Legal Fees</t>
  </si>
  <si>
    <t>Sub-Total</t>
  </si>
  <si>
    <t>Divided By: Expected Life of Rates</t>
  </si>
  <si>
    <t>Proforma Test Year Rate Case Expense</t>
  </si>
  <si>
    <t>(8)</t>
  </si>
  <si>
    <t>Indiana Utility Regulatory Commission (IURC) Fee</t>
  </si>
  <si>
    <t>To adjust test year IURC fee for pro forma present rate operating revenues.</t>
  </si>
  <si>
    <t>Times:  Current IURC Fee</t>
  </si>
  <si>
    <t>Enter Test Year IURC Fee</t>
  </si>
  <si>
    <t>Adjustment - Increase/(Decrease)</t>
  </si>
  <si>
    <t>Page 4 of 4</t>
  </si>
  <si>
    <t>(9)</t>
  </si>
  <si>
    <t>System Delivery Adjustment</t>
  </si>
  <si>
    <t>To account for increased system delivery costs due to customer growth.</t>
  </si>
  <si>
    <t>Purchased Power Expense</t>
  </si>
  <si>
    <t>Chemical Expense</t>
  </si>
  <si>
    <t>Total Test Year Billings</t>
  </si>
  <si>
    <t>Variable Cost Per Bill</t>
  </si>
  <si>
    <t>Postage</t>
  </si>
  <si>
    <t>Total Cost Per Bill</t>
  </si>
  <si>
    <t>Multiplied by: Total Additional Billings</t>
  </si>
  <si>
    <t>Cost for additional billings</t>
  </si>
  <si>
    <t>Additional Test year Residential billings</t>
  </si>
  <si>
    <t>Additional Test year Commercial billings</t>
  </si>
  <si>
    <t>Additional Post Test year Residential billings</t>
  </si>
  <si>
    <t>Total Additional Billings</t>
  </si>
  <si>
    <t>(10)</t>
  </si>
  <si>
    <t>To adjust Social Security and Medicare for the increase in Salaries &amp; Wages and Overtime</t>
  </si>
  <si>
    <t>Pro forma Salaries and Wages</t>
  </si>
  <si>
    <t>Pro-forma Retirement Benefit</t>
  </si>
  <si>
    <t>Schedule 7</t>
  </si>
  <si>
    <t>To reflect the average amount of extensions and replacements required over a three year period.</t>
  </si>
  <si>
    <t>OUCC Recommendation</t>
  </si>
  <si>
    <t>Year 1</t>
  </si>
  <si>
    <t>Year 2</t>
  </si>
  <si>
    <t>Year 3</t>
  </si>
  <si>
    <t>Total</t>
  </si>
  <si>
    <t>Applicant</t>
  </si>
  <si>
    <t>Meter Replacement</t>
  </si>
  <si>
    <t>Water Main Relocation</t>
  </si>
  <si>
    <t>Main Replacements</t>
  </si>
  <si>
    <t>Hydrant Replacements</t>
  </si>
  <si>
    <t>SCADA System Upgrade</t>
  </si>
  <si>
    <t>Vehicles</t>
  </si>
  <si>
    <t>Excavator Trades</t>
  </si>
  <si>
    <t>Lead Line Replacement</t>
  </si>
  <si>
    <t>Cash Funded Reduction</t>
  </si>
  <si>
    <t>Total To Be Funded Through Rates</t>
  </si>
  <si>
    <t>Divide by 3 Years</t>
  </si>
  <si>
    <t>Average Annual E&amp;R</t>
  </si>
  <si>
    <t>Schedule 8</t>
  </si>
  <si>
    <t>Operation &amp; Maintenance Expense</t>
  </si>
  <si>
    <t>Plus:</t>
  </si>
  <si>
    <t>Purchased Power</t>
  </si>
  <si>
    <t>Adjusted Operation &amp; Maintenance Expense</t>
  </si>
  <si>
    <t xml:space="preserve">Times:  </t>
  </si>
  <si>
    <t>45 Day Factor</t>
  </si>
  <si>
    <t>Working Capital Revenue Requirement</t>
  </si>
  <si>
    <t>Cash on Hand</t>
  </si>
  <si>
    <t>Net Working Capital Revenue Requirement</t>
  </si>
  <si>
    <t>Divide by:</t>
  </si>
  <si>
    <t>Amortization Period (Years)</t>
  </si>
  <si>
    <t>Annual Working Capital Revenue Requirement</t>
  </si>
  <si>
    <t xml:space="preserve">          Cash on Hand:</t>
  </si>
  <si>
    <t>Cash on Hand (Petty Cash)</t>
  </si>
  <si>
    <t>Working Fund</t>
  </si>
  <si>
    <t>Temp Cash Investments</t>
  </si>
  <si>
    <t>Schedule 9</t>
  </si>
  <si>
    <t>To reflect the average amount of debt service required over a three year period.</t>
  </si>
  <si>
    <t>RD Loan 9111</t>
  </si>
  <si>
    <t>RD Loan 9113</t>
  </si>
  <si>
    <t>RD Loan 9115</t>
  </si>
  <si>
    <t>Farmers and Merchants Bank</t>
  </si>
  <si>
    <t>Schedule 10</t>
  </si>
  <si>
    <t>Applicant's debt service reserve for Rural Development loans are fully funded and there is no reserve requirement for the new bank loan.  Therefore there is no debt service revenue requirement.</t>
  </si>
  <si>
    <t>Schedule 11</t>
  </si>
  <si>
    <t>Current and Proposed Rates and Charges</t>
  </si>
  <si>
    <t>Metered Rates</t>
  </si>
  <si>
    <t>First 3,000 gallons</t>
  </si>
  <si>
    <t>Next 12,000 gallons</t>
  </si>
  <si>
    <t>Next 35,000 gallons</t>
  </si>
  <si>
    <t>Next 100,000 gallons</t>
  </si>
  <si>
    <t>All Over 150,000 gallons</t>
  </si>
  <si>
    <t>Minimum</t>
  </si>
  <si>
    <t>5/8" Meter</t>
  </si>
  <si>
    <t>3/4" Meter</t>
  </si>
  <si>
    <t>1" Meter</t>
  </si>
  <si>
    <t>1 1/2" Meter</t>
  </si>
  <si>
    <t>2" Meter</t>
  </si>
  <si>
    <t>3" Meter</t>
  </si>
  <si>
    <t>4" Meter</t>
  </si>
  <si>
    <t>6" Meter</t>
  </si>
  <si>
    <t>Hydrant Charge Per Month or Year</t>
  </si>
  <si>
    <t>Public Fire Hydrant</t>
  </si>
  <si>
    <t>Private Fire Hydrant</t>
  </si>
  <si>
    <t>Fire Protection Surcharge Per 1,000g or 100cf</t>
  </si>
  <si>
    <t>2"</t>
  </si>
  <si>
    <t>3"</t>
  </si>
  <si>
    <t>4"</t>
  </si>
  <si>
    <t>6"</t>
  </si>
  <si>
    <t>8"</t>
  </si>
  <si>
    <t>10"</t>
  </si>
  <si>
    <t>12"</t>
  </si>
  <si>
    <t>Workpaper TWM-2</t>
  </si>
  <si>
    <t>Revenue Requirement Comparison</t>
  </si>
  <si>
    <t xml:space="preserve">Cause </t>
  </si>
  <si>
    <t>Cause</t>
  </si>
  <si>
    <t>No. 45435</t>
  </si>
  <si>
    <t>Taxes other than Income</t>
  </si>
  <si>
    <t>Less Revenue Requirement Offsets:</t>
  </si>
  <si>
    <t>Non Utility</t>
  </si>
  <si>
    <t>Rental Income</t>
  </si>
  <si>
    <t>Net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</si>
</sst>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0%"/>
    <numFmt numFmtId="167" formatCode="0.0000000%"/>
    <numFmt numFmtId="168" formatCode="_(&quot;$&quot;* #,##0.0_);_(&quot;$&quot;* \(#,##0.0\);_(&quot;$&quot;* &quot;-&quot;??_);_(@_)"/>
    <numFmt numFmtId="169" formatCode="0.0%"/>
    <numFmt numFmtId="170" formatCode="_(* #,##0.000_);_(* \(#,##0.000\);_(* &quot;-&quot;??_);_(@_)"/>
    <numFmt numFmtId="171" formatCode="0.000%"/>
    <numFmt numFmtId="172" formatCode="_(* #,##0.0000_);_(* \(#,##0.0000\);_(* &quot;-&quot;??_);_(@_)"/>
    <numFmt numFmtId="173" formatCode="_(* #,##0.00000_);_(* \(#,##0.00000\);_(* &quot;-&quot;??_);_(@_)"/>
  </numFmts>
  <fonts count="26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b/>
      <u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2"/>
      <name val="Times New Roman"/>
      <family val="1"/>
    </font>
    <font>
      <b/>
      <sz val="10"/>
      <color rgb="FFFFFF00"/>
      <name val="Times New Roman"/>
      <family val="1"/>
    </font>
    <font>
      <b/>
      <sz val="12"/>
      <color rgb="FFFFFF00"/>
      <name val="Times New Roman"/>
      <family val="1"/>
    </font>
    <font>
      <b/>
      <sz val="10"/>
      <name val="Times New Roman"/>
      <family val="1"/>
    </font>
    <font>
      <sz val="12"/>
      <color rgb="FFFFFF00"/>
      <name val="Times New Roman"/>
      <family val="1"/>
    </font>
    <font>
      <sz val="10"/>
      <color rgb="FFFFFF00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24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6" fillId="0" borderId="0" xfId="0" applyFont="1"/>
    <xf numFmtId="165" fontId="1" fillId="0" borderId="0" xfId="1" applyNumberFormat="1" applyFont="1"/>
    <xf numFmtId="0" fontId="8" fillId="0" borderId="0" xfId="0" applyFont="1"/>
    <xf numFmtId="165" fontId="1" fillId="0" borderId="0" xfId="0" applyNumberFormat="1" applyFont="1"/>
    <xf numFmtId="0" fontId="3" fillId="0" borderId="0" xfId="0" applyFont="1"/>
    <xf numFmtId="0" fontId="5" fillId="0" borderId="0" xfId="0" applyFont="1"/>
    <xf numFmtId="164" fontId="1" fillId="0" borderId="3" xfId="2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right"/>
    </xf>
    <xf numFmtId="165" fontId="1" fillId="0" borderId="12" xfId="1" applyNumberFormat="1" applyFont="1" applyBorder="1"/>
    <xf numFmtId="165" fontId="1" fillId="0" borderId="12" xfId="0" applyNumberFormat="1" applyFont="1" applyBorder="1"/>
    <xf numFmtId="0" fontId="0" fillId="2" borderId="0" xfId="0" applyFill="1"/>
    <xf numFmtId="0" fontId="0" fillId="3" borderId="0" xfId="0" applyFill="1"/>
    <xf numFmtId="166" fontId="0" fillId="3" borderId="0" xfId="4" applyNumberFormat="1" applyFont="1" applyFill="1"/>
    <xf numFmtId="0" fontId="8" fillId="4" borderId="0" xfId="0" applyFont="1" applyFill="1"/>
    <xf numFmtId="0" fontId="0" fillId="4" borderId="0" xfId="0" applyFill="1"/>
    <xf numFmtId="165" fontId="0" fillId="0" borderId="0" xfId="1" applyNumberFormat="1" applyFont="1"/>
    <xf numFmtId="0" fontId="0" fillId="0" borderId="0" xfId="0" applyAlignment="1">
      <alignment horizontal="right"/>
    </xf>
    <xf numFmtId="0" fontId="8" fillId="5" borderId="0" xfId="0" applyFont="1" applyFill="1"/>
    <xf numFmtId="0" fontId="0" fillId="5" borderId="0" xfId="0" applyFill="1"/>
    <xf numFmtId="167" fontId="0" fillId="5" borderId="0" xfId="4" applyNumberFormat="1" applyFont="1" applyFill="1"/>
    <xf numFmtId="0" fontId="2" fillId="5" borderId="0" xfId="0" applyFont="1" applyFill="1" applyAlignment="1">
      <alignment horizontal="center"/>
    </xf>
    <xf numFmtId="0" fontId="2" fillId="0" borderId="0" xfId="0" applyFont="1"/>
    <xf numFmtId="167" fontId="0" fillId="0" borderId="0" xfId="4" applyNumberFormat="1" applyFont="1" applyFill="1"/>
    <xf numFmtId="44" fontId="0" fillId="2" borderId="0" xfId="2" applyFont="1" applyFill="1"/>
    <xf numFmtId="165" fontId="1" fillId="2" borderId="0" xfId="1" applyNumberFormat="1" applyFont="1" applyFill="1"/>
    <xf numFmtId="0" fontId="1" fillId="3" borderId="0" xfId="0" applyFont="1" applyFill="1"/>
    <xf numFmtId="164" fontId="1" fillId="0" borderId="0" xfId="2" applyNumberFormat="1" applyFont="1" applyFill="1"/>
    <xf numFmtId="165" fontId="1" fillId="0" borderId="0" xfId="1" applyNumberFormat="1" applyFont="1" applyFill="1"/>
    <xf numFmtId="165" fontId="1" fillId="0" borderId="2" xfId="1" applyNumberFormat="1" applyFont="1" applyFill="1" applyBorder="1"/>
    <xf numFmtId="10" fontId="1" fillId="0" borderId="3" xfId="4" applyNumberFormat="1" applyFont="1" applyFill="1" applyBorder="1"/>
    <xf numFmtId="164" fontId="0" fillId="0" borderId="0" xfId="2" applyNumberFormat="1" applyFont="1" applyFill="1"/>
    <xf numFmtId="165" fontId="0" fillId="0" borderId="0" xfId="1" applyNumberFormat="1" applyFont="1" applyFill="1"/>
    <xf numFmtId="165" fontId="1" fillId="0" borderId="12" xfId="1" applyNumberFormat="1" applyFont="1" applyFill="1" applyBorder="1"/>
    <xf numFmtId="164" fontId="0" fillId="0" borderId="3" xfId="2" applyNumberFormat="1" applyFont="1" applyFill="1" applyBorder="1"/>
    <xf numFmtId="0" fontId="1" fillId="2" borderId="0" xfId="0" applyFont="1" applyFill="1"/>
    <xf numFmtId="14" fontId="0" fillId="2" borderId="0" xfId="0" applyNumberFormat="1" applyFill="1"/>
    <xf numFmtId="164" fontId="2" fillId="0" borderId="3" xfId="2" applyNumberFormat="1" applyFont="1" applyBorder="1"/>
    <xf numFmtId="0" fontId="11" fillId="0" borderId="0" xfId="3"/>
    <xf numFmtId="0" fontId="16" fillId="0" borderId="0" xfId="0" applyFont="1"/>
    <xf numFmtId="164" fontId="0" fillId="0" borderId="0" xfId="0" applyNumberFormat="1"/>
    <xf numFmtId="167" fontId="1" fillId="6" borderId="0" xfId="4" applyNumberFormat="1" applyFont="1" applyFill="1"/>
    <xf numFmtId="0" fontId="2" fillId="0" borderId="0" xfId="3" applyFont="1"/>
    <xf numFmtId="0" fontId="7" fillId="0" borderId="0" xfId="0" applyFont="1"/>
    <xf numFmtId="0" fontId="17" fillId="6" borderId="0" xfId="0" applyFont="1" applyFill="1"/>
    <xf numFmtId="0" fontId="17" fillId="0" borderId="0" xfId="0" applyFont="1"/>
    <xf numFmtId="0" fontId="18" fillId="0" borderId="0" xfId="0" applyFont="1"/>
    <xf numFmtId="164" fontId="1" fillId="0" borderId="0" xfId="0" applyNumberFormat="1" applyFont="1"/>
    <xf numFmtId="0" fontId="18" fillId="3" borderId="0" xfId="0" applyFont="1" applyFill="1"/>
    <xf numFmtId="165" fontId="18" fillId="0" borderId="0" xfId="1" applyNumberFormat="1" applyFont="1"/>
    <xf numFmtId="0" fontId="19" fillId="0" borderId="0" xfId="0" applyFont="1"/>
    <xf numFmtId="0" fontId="18" fillId="6" borderId="0" xfId="0" applyFont="1" applyFill="1"/>
    <xf numFmtId="0" fontId="20" fillId="0" borderId="0" xfId="0" applyFont="1"/>
    <xf numFmtId="0" fontId="17" fillId="0" borderId="0" xfId="0" applyFont="1" applyAlignment="1">
      <alignment vertical="top"/>
    </xf>
    <xf numFmtId="0" fontId="21" fillId="0" borderId="0" xfId="0" applyFont="1"/>
    <xf numFmtId="0" fontId="18" fillId="0" borderId="0" xfId="0" applyFont="1" applyAlignment="1">
      <alignment vertical="center"/>
    </xf>
    <xf numFmtId="165" fontId="1" fillId="0" borderId="5" xfId="1" applyNumberFormat="1" applyFont="1" applyBorder="1"/>
    <xf numFmtId="43" fontId="0" fillId="0" borderId="0" xfId="1" applyFont="1" applyFill="1"/>
    <xf numFmtId="0" fontId="1" fillId="0" borderId="0" xfId="0" quotePrefix="1" applyFont="1"/>
    <xf numFmtId="44" fontId="0" fillId="0" borderId="0" xfId="0" applyNumberFormat="1"/>
    <xf numFmtId="165" fontId="0" fillId="0" borderId="0" xfId="0" applyNumberFormat="1"/>
    <xf numFmtId="43" fontId="0" fillId="0" borderId="0" xfId="0" applyNumberFormat="1"/>
    <xf numFmtId="0" fontId="0" fillId="0" borderId="0" xfId="0" applyAlignment="1">
      <alignment wrapText="1"/>
    </xf>
    <xf numFmtId="49" fontId="1" fillId="2" borderId="0" xfId="0" quotePrefix="1" applyNumberFormat="1" applyFont="1" applyFill="1"/>
    <xf numFmtId="0" fontId="0" fillId="0" borderId="1" xfId="0" applyBorder="1"/>
    <xf numFmtId="164" fontId="2" fillId="0" borderId="3" xfId="2" applyNumberFormat="1" applyFont="1" applyFill="1" applyBorder="1"/>
    <xf numFmtId="169" fontId="0" fillId="0" borderId="8" xfId="4" applyNumberFormat="1" applyFont="1" applyFill="1" applyBorder="1" applyAlignment="1"/>
    <xf numFmtId="165" fontId="0" fillId="0" borderId="8" xfId="1" applyNumberFormat="1" applyFont="1" applyFill="1" applyBorder="1"/>
    <xf numFmtId="44" fontId="0" fillId="0" borderId="0" xfId="2" applyFont="1" applyFill="1"/>
    <xf numFmtId="164" fontId="0" fillId="0" borderId="1" xfId="2" applyNumberFormat="1" applyFont="1" applyFill="1" applyBorder="1"/>
    <xf numFmtId="164" fontId="0" fillId="0" borderId="0" xfId="2" applyNumberFormat="1" applyFont="1" applyFill="1" applyBorder="1"/>
    <xf numFmtId="164" fontId="2" fillId="0" borderId="0" xfId="2" applyNumberFormat="1" applyFont="1" applyFill="1" applyBorder="1"/>
    <xf numFmtId="10" fontId="0" fillId="0" borderId="8" xfId="4" applyNumberFormat="1" applyFont="1" applyFill="1" applyBorder="1" applyAlignment="1"/>
    <xf numFmtId="165" fontId="0" fillId="0" borderId="1" xfId="1" applyNumberFormat="1" applyFont="1" applyBorder="1"/>
    <xf numFmtId="0" fontId="2" fillId="0" borderId="1" xfId="0" applyFont="1" applyBorder="1" applyAlignment="1">
      <alignment horizontal="center"/>
    </xf>
    <xf numFmtId="0" fontId="1" fillId="0" borderId="0" xfId="2" applyNumberFormat="1" applyFont="1" applyFill="1" applyAlignment="1">
      <alignment horizontal="center"/>
    </xf>
    <xf numFmtId="0" fontId="1" fillId="0" borderId="0" xfId="1" applyNumberFormat="1" applyFont="1" applyFill="1" applyAlignment="1">
      <alignment horizontal="center"/>
    </xf>
    <xf numFmtId="0" fontId="1" fillId="0" borderId="2" xfId="0" applyFont="1" applyBorder="1"/>
    <xf numFmtId="164" fontId="1" fillId="0" borderId="3" xfId="2" applyNumberFormat="1" applyFont="1" applyFill="1" applyBorder="1"/>
    <xf numFmtId="10" fontId="1" fillId="0" borderId="0" xfId="4" applyNumberFormat="1" applyFont="1" applyFill="1"/>
    <xf numFmtId="0" fontId="1" fillId="0" borderId="0" xfId="4" applyNumberFormat="1" applyFont="1" applyFill="1" applyAlignment="1">
      <alignment horizontal="center"/>
    </xf>
    <xf numFmtId="0" fontId="1" fillId="0" borderId="10" xfId="0" applyFont="1" applyBorder="1"/>
    <xf numFmtId="0" fontId="2" fillId="0" borderId="11" xfId="0" applyFont="1" applyBorder="1" applyAlignment="1">
      <alignment horizontal="center"/>
    </xf>
    <xf numFmtId="0" fontId="9" fillId="0" borderId="5" xfId="0" applyFont="1" applyBorder="1"/>
    <xf numFmtId="0" fontId="2" fillId="0" borderId="1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4" fontId="1" fillId="0" borderId="0" xfId="2" applyFont="1" applyFill="1" applyBorder="1" applyAlignment="1">
      <alignment horizontal="left"/>
    </xf>
    <xf numFmtId="44" fontId="1" fillId="0" borderId="0" xfId="2" applyFont="1" applyFill="1" applyBorder="1"/>
    <xf numFmtId="44" fontId="1" fillId="0" borderId="6" xfId="2" applyFont="1" applyFill="1" applyBorder="1"/>
    <xf numFmtId="0" fontId="1" fillId="0" borderId="9" xfId="0" applyFont="1" applyBorder="1"/>
    <xf numFmtId="164" fontId="1" fillId="0" borderId="0" xfId="2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center"/>
    </xf>
    <xf numFmtId="0" fontId="1" fillId="0" borderId="0" xfId="3" applyFont="1"/>
    <xf numFmtId="43" fontId="1" fillId="0" borderId="0" xfId="0" applyNumberFormat="1" applyFont="1"/>
    <xf numFmtId="165" fontId="1" fillId="0" borderId="10" xfId="1" applyNumberFormat="1" applyFont="1" applyBorder="1"/>
    <xf numFmtId="165" fontId="1" fillId="0" borderId="11" xfId="1" applyNumberFormat="1" applyFont="1" applyBorder="1"/>
    <xf numFmtId="164" fontId="1" fillId="0" borderId="6" xfId="2" applyNumberFormat="1" applyFont="1" applyBorder="1"/>
    <xf numFmtId="165" fontId="1" fillId="0" borderId="6" xfId="1" applyNumberFormat="1" applyFont="1" applyBorder="1"/>
    <xf numFmtId="165" fontId="1" fillId="0" borderId="0" xfId="1" applyNumberFormat="1" applyFont="1" applyBorder="1"/>
    <xf numFmtId="165" fontId="1" fillId="0" borderId="8" xfId="1" applyNumberFormat="1" applyFont="1" applyBorder="1"/>
    <xf numFmtId="165" fontId="1" fillId="0" borderId="9" xfId="1" applyNumberFormat="1" applyFont="1" applyBorder="1"/>
    <xf numFmtId="165" fontId="1" fillId="0" borderId="4" xfId="1" applyNumberFormat="1" applyFont="1" applyBorder="1"/>
    <xf numFmtId="165" fontId="1" fillId="0" borderId="16" xfId="1" applyNumberFormat="1" applyFont="1" applyBorder="1"/>
    <xf numFmtId="165" fontId="1" fillId="0" borderId="7" xfId="1" applyNumberFormat="1" applyFont="1" applyBorder="1"/>
    <xf numFmtId="0" fontId="22" fillId="0" borderId="0" xfId="0" applyFont="1"/>
    <xf numFmtId="14" fontId="2" fillId="0" borderId="1" xfId="0" applyNumberFormat="1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37" fontId="1" fillId="0" borderId="0" xfId="0" applyNumberFormat="1" applyFont="1"/>
    <xf numFmtId="165" fontId="2" fillId="0" borderId="0" xfId="1" applyNumberFormat="1" applyFont="1" applyFill="1" applyBorder="1"/>
    <xf numFmtId="165" fontId="0" fillId="0" borderId="1" xfId="0" applyNumberFormat="1" applyBorder="1"/>
    <xf numFmtId="164" fontId="0" fillId="0" borderId="14" xfId="2" applyNumberFormat="1" applyFont="1" applyFill="1" applyBorder="1"/>
    <xf numFmtId="164" fontId="0" fillId="0" borderId="2" xfId="2" applyNumberFormat="1" applyFont="1" applyFill="1" applyBorder="1"/>
    <xf numFmtId="0" fontId="0" fillId="0" borderId="2" xfId="0" applyBorder="1"/>
    <xf numFmtId="165" fontId="0" fillId="0" borderId="0" xfId="1" applyNumberFormat="1" applyFont="1" applyFill="1" applyBorder="1"/>
    <xf numFmtId="0" fontId="23" fillId="0" borderId="0" xfId="0" applyFont="1"/>
    <xf numFmtId="10" fontId="1" fillId="0" borderId="0" xfId="4" applyNumberFormat="1" applyFont="1"/>
    <xf numFmtId="44" fontId="0" fillId="0" borderId="14" xfId="2" applyFont="1" applyBorder="1"/>
    <xf numFmtId="0" fontId="23" fillId="0" borderId="0" xfId="0" applyFont="1" applyAlignment="1">
      <alignment horizontal="center"/>
    </xf>
    <xf numFmtId="43" fontId="0" fillId="0" borderId="1" xfId="1" applyFont="1" applyFill="1" applyBorder="1"/>
    <xf numFmtId="165" fontId="0" fillId="0" borderId="1" xfId="1" applyNumberFormat="1" applyFont="1" applyFill="1" applyBorder="1"/>
    <xf numFmtId="0" fontId="1" fillId="0" borderId="1" xfId="0" applyFont="1" applyBorder="1" applyAlignment="1">
      <alignment horizontal="center" wrapText="1"/>
    </xf>
    <xf numFmtId="165" fontId="1" fillId="0" borderId="0" xfId="0" quotePrefix="1" applyNumberFormat="1" applyFont="1" applyAlignment="1">
      <alignment horizontal="center"/>
    </xf>
    <xf numFmtId="165" fontId="1" fillId="0" borderId="1" xfId="0" quotePrefix="1" applyNumberFormat="1" applyFont="1" applyBorder="1" applyAlignment="1">
      <alignment horizontal="center"/>
    </xf>
    <xf numFmtId="165" fontId="0" fillId="0" borderId="0" xfId="1" applyNumberFormat="1" applyFont="1" applyBorder="1"/>
    <xf numFmtId="0" fontId="23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44" fontId="0" fillId="0" borderId="0" xfId="2" applyFont="1" applyFill="1" applyBorder="1"/>
    <xf numFmtId="43" fontId="0" fillId="0" borderId="0" xfId="1" applyFont="1" applyFill="1" applyBorder="1"/>
    <xf numFmtId="164" fontId="2" fillId="0" borderId="14" xfId="0" applyNumberFormat="1" applyFont="1" applyBorder="1"/>
    <xf numFmtId="165" fontId="0" fillId="0" borderId="14" xfId="1" applyNumberFormat="1" applyFont="1" applyFill="1" applyBorder="1"/>
    <xf numFmtId="164" fontId="2" fillId="0" borderId="3" xfId="2" quotePrefix="1" applyNumberFormat="1" applyFont="1" applyBorder="1" applyAlignment="1">
      <alignment horizontal="center"/>
    </xf>
    <xf numFmtId="44" fontId="0" fillId="0" borderId="1" xfId="2" applyFont="1" applyBorder="1"/>
    <xf numFmtId="44" fontId="1" fillId="0" borderId="1" xfId="2" quotePrefix="1" applyFont="1" applyFill="1" applyBorder="1" applyAlignment="1">
      <alignment horizontal="center"/>
    </xf>
    <xf numFmtId="44" fontId="1" fillId="0" borderId="0" xfId="0" applyNumberFormat="1" applyFont="1"/>
    <xf numFmtId="44" fontId="0" fillId="0" borderId="0" xfId="2" applyFont="1"/>
    <xf numFmtId="164" fontId="0" fillId="0" borderId="0" xfId="2" applyNumberFormat="1" applyFont="1"/>
    <xf numFmtId="10" fontId="1" fillId="0" borderId="1" xfId="4" applyNumberFormat="1" applyFont="1" applyBorder="1"/>
    <xf numFmtId="0" fontId="8" fillId="0" borderId="0" xfId="3" applyFont="1"/>
    <xf numFmtId="165" fontId="1" fillId="0" borderId="1" xfId="1" applyNumberFormat="1" applyFont="1" applyBorder="1"/>
    <xf numFmtId="43" fontId="1" fillId="0" borderId="0" xfId="1" applyFont="1"/>
    <xf numFmtId="43" fontId="0" fillId="0" borderId="0" xfId="1" applyFont="1"/>
    <xf numFmtId="165" fontId="1" fillId="0" borderId="0" xfId="1" applyNumberFormat="1" applyFont="1" applyAlignment="1"/>
    <xf numFmtId="164" fontId="1" fillId="0" borderId="0" xfId="2" applyNumberFormat="1" applyFont="1" applyAlignment="1"/>
    <xf numFmtId="164" fontId="0" fillId="0" borderId="14" xfId="2" applyNumberFormat="1" applyFont="1" applyBorder="1"/>
    <xf numFmtId="165" fontId="0" fillId="0" borderId="2" xfId="0" applyNumberFormat="1" applyBorder="1"/>
    <xf numFmtId="171" fontId="1" fillId="0" borderId="0" xfId="4" applyNumberFormat="1" applyFont="1" applyFill="1"/>
    <xf numFmtId="172" fontId="1" fillId="0" borderId="0" xfId="0" applyNumberFormat="1" applyFont="1"/>
    <xf numFmtId="43" fontId="1" fillId="0" borderId="13" xfId="1" applyFont="1" applyBorder="1"/>
    <xf numFmtId="0" fontId="2" fillId="0" borderId="1" xfId="0" applyFont="1" applyBorder="1" applyAlignment="1">
      <alignment horizontal="center" wrapText="1"/>
    </xf>
    <xf numFmtId="164" fontId="2" fillId="0" borderId="0" xfId="2" applyNumberFormat="1" applyFont="1" applyBorder="1"/>
    <xf numFmtId="165" fontId="0" fillId="0" borderId="8" xfId="1" applyNumberFormat="1" applyFont="1" applyBorder="1"/>
    <xf numFmtId="0" fontId="0" fillId="6" borderId="0" xfId="0" applyFill="1"/>
    <xf numFmtId="164" fontId="0" fillId="0" borderId="1" xfId="2" applyNumberFormat="1" applyFont="1" applyBorder="1"/>
    <xf numFmtId="164" fontId="0" fillId="0" borderId="0" xfId="2" applyNumberFormat="1" applyFont="1" applyBorder="1"/>
    <xf numFmtId="165" fontId="0" fillId="0" borderId="14" xfId="0" applyNumberFormat="1" applyBorder="1"/>
    <xf numFmtId="164" fontId="22" fillId="0" borderId="0" xfId="2" applyNumberFormat="1" applyFont="1" applyFill="1" applyBorder="1"/>
    <xf numFmtId="0" fontId="22" fillId="0" borderId="0" xfId="0" applyFont="1" applyAlignment="1">
      <alignment horizontal="right"/>
    </xf>
    <xf numFmtId="0" fontId="22" fillId="0" borderId="1" xfId="0" applyFont="1" applyBorder="1"/>
    <xf numFmtId="165" fontId="22" fillId="0" borderId="1" xfId="1" applyNumberFormat="1" applyFont="1" applyFill="1" applyBorder="1"/>
    <xf numFmtId="165" fontId="22" fillId="0" borderId="0" xfId="1" applyNumberFormat="1" applyFont="1" applyFill="1" applyBorder="1"/>
    <xf numFmtId="165" fontId="22" fillId="0" borderId="12" xfId="1" applyNumberFormat="1" applyFont="1" applyFill="1" applyBorder="1"/>
    <xf numFmtId="165" fontId="22" fillId="0" borderId="0" xfId="0" applyNumberFormat="1" applyFont="1"/>
    <xf numFmtId="0" fontId="24" fillId="0" borderId="0" xfId="0" applyFont="1" applyAlignment="1">
      <alignment horizontal="left"/>
    </xf>
    <xf numFmtId="164" fontId="24" fillId="0" borderId="3" xfId="2" applyNumberFormat="1" applyFont="1" applyFill="1" applyBorder="1"/>
    <xf numFmtId="44" fontId="1" fillId="0" borderId="0" xfId="2" applyFont="1" applyFill="1"/>
    <xf numFmtId="164" fontId="1" fillId="0" borderId="0" xfId="2" applyNumberFormat="1" applyFont="1"/>
    <xf numFmtId="173" fontId="1" fillId="0" borderId="0" xfId="1" applyNumberFormat="1" applyFont="1"/>
    <xf numFmtId="0" fontId="5" fillId="0" borderId="0" xfId="3" applyFont="1"/>
    <xf numFmtId="0" fontId="1" fillId="6" borderId="0" xfId="0" applyFont="1" applyFill="1"/>
    <xf numFmtId="164" fontId="0" fillId="0" borderId="0" xfId="0" applyNumberFormat="1" applyAlignment="1">
      <alignment wrapText="1"/>
    </xf>
    <xf numFmtId="43" fontId="25" fillId="0" borderId="0" xfId="1" applyFont="1" applyFill="1"/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164" fontId="0" fillId="0" borderId="5" xfId="2" applyNumberFormat="1" applyFont="1" applyFill="1" applyBorder="1"/>
    <xf numFmtId="164" fontId="0" fillId="0" borderId="6" xfId="2" applyNumberFormat="1" applyFont="1" applyFill="1" applyBorder="1"/>
    <xf numFmtId="43" fontId="0" fillId="0" borderId="5" xfId="1" applyFont="1" applyBorder="1"/>
    <xf numFmtId="43" fontId="0" fillId="0" borderId="0" xfId="1" applyFont="1" applyBorder="1"/>
    <xf numFmtId="165" fontId="0" fillId="0" borderId="6" xfId="1" applyNumberFormat="1" applyFont="1" applyFill="1" applyBorder="1"/>
    <xf numFmtId="165" fontId="0" fillId="0" borderId="5" xfId="1" applyNumberFormat="1" applyFont="1" applyFill="1" applyBorder="1"/>
    <xf numFmtId="164" fontId="0" fillId="0" borderId="20" xfId="2" applyNumberFormat="1" applyFont="1" applyFill="1" applyBorder="1"/>
    <xf numFmtId="164" fontId="0" fillId="0" borderId="21" xfId="2" applyNumberFormat="1" applyFont="1" applyFill="1" applyBorder="1"/>
    <xf numFmtId="165" fontId="0" fillId="0" borderId="16" xfId="1" applyNumberFormat="1" applyFont="1" applyFill="1" applyBorder="1"/>
    <xf numFmtId="165" fontId="0" fillId="0" borderId="6" xfId="1" applyNumberFormat="1" applyFont="1" applyBorder="1"/>
    <xf numFmtId="0" fontId="0" fillId="0" borderId="16" xfId="0" applyBorder="1"/>
    <xf numFmtId="164" fontId="0" fillId="0" borderId="22" xfId="2" applyNumberFormat="1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1" fillId="0" borderId="0" xfId="0" applyFont="1" applyAlignment="1">
      <alignment wrapText="1"/>
    </xf>
    <xf numFmtId="167" fontId="1" fillId="0" borderId="0" xfId="4" applyNumberFormat="1" applyFont="1" applyFill="1"/>
    <xf numFmtId="170" fontId="1" fillId="0" borderId="0" xfId="1" applyNumberFormat="1" applyFont="1" applyFill="1"/>
    <xf numFmtId="164" fontId="1" fillId="0" borderId="0" xfId="2" applyNumberFormat="1" applyFont="1" applyFill="1" applyBorder="1"/>
    <xf numFmtId="164" fontId="1" fillId="0" borderId="0" xfId="5" applyNumberFormat="1" applyFont="1" applyFill="1"/>
    <xf numFmtId="165" fontId="1" fillId="0" borderId="0" xfId="6" applyNumberFormat="1" applyFont="1" applyFill="1"/>
    <xf numFmtId="165" fontId="1" fillId="0" borderId="2" xfId="6" applyNumberFormat="1" applyFont="1" applyFill="1" applyBorder="1"/>
    <xf numFmtId="168" fontId="1" fillId="0" borderId="3" xfId="5" applyNumberFormat="1" applyFont="1" applyFill="1" applyBorder="1"/>
    <xf numFmtId="164" fontId="1" fillId="0" borderId="3" xfId="5" applyNumberFormat="1" applyFont="1" applyFill="1" applyBorder="1"/>
    <xf numFmtId="168" fontId="1" fillId="0" borderId="0" xfId="5" applyNumberFormat="1" applyFont="1" applyFill="1" applyBorder="1"/>
    <xf numFmtId="164" fontId="1" fillId="0" borderId="0" xfId="5" applyNumberFormat="1" applyFont="1" applyFill="1" applyBorder="1"/>
    <xf numFmtId="165" fontId="1" fillId="0" borderId="0" xfId="6" applyNumberFormat="1" applyFont="1" applyFill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vertical="top" wrapText="1"/>
    </xf>
    <xf numFmtId="0" fontId="2" fillId="0" borderId="0" xfId="0" quotePrefix="1" applyFont="1" applyAlignment="1">
      <alignment horizontal="center"/>
    </xf>
    <xf numFmtId="0" fontId="9" fillId="0" borderId="0" xfId="0" quotePrefix="1" applyFont="1" applyAlignment="1">
      <alignment horizontal="center"/>
    </xf>
    <xf numFmtId="165" fontId="1" fillId="0" borderId="0" xfId="0" quotePrefix="1" applyNumberFormat="1" applyFont="1" applyAlignment="1">
      <alignment wrapText="1"/>
    </xf>
    <xf numFmtId="44" fontId="2" fillId="0" borderId="0" xfId="0" quotePrefix="1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0" fontId="1" fillId="0" borderId="0" xfId="0" quotePrefix="1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20" fillId="0" borderId="0" xfId="0" applyFont="1" applyAlignment="1">
      <alignment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7">
    <cellStyle name="Comma" xfId="1" builtinId="3"/>
    <cellStyle name="Comma 2" xfId="6" xr:uid="{60A8B3EE-4682-415E-8BD8-77E79393EBCE}"/>
    <cellStyle name="Currency" xfId="2" builtinId="4"/>
    <cellStyle name="Currency 2" xfId="5" xr:uid="{2F7C1F8A-BD5D-438A-B814-26C8969C2ACA}"/>
    <cellStyle name="Normal" xfId="0" builtinId="0"/>
    <cellStyle name="Normal 2" xfId="3" xr:uid="{00000000-0005-0000-0000-000003000000}"/>
    <cellStyle name="Percent" xfId="4" builtinId="5"/>
  </cellStyles>
  <dxfs count="1">
    <dxf>
      <font>
        <color theme="6" tint="0.79998168889431442"/>
      </font>
    </dxf>
  </dxfs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4</xdr:col>
      <xdr:colOff>66675</xdr:colOff>
      <xdr:row>11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3B7C8F-5AD8-7532-562D-8C6EA2AF8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76325"/>
          <a:ext cx="2809875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>
    <tabColor theme="3" tint="0.59999389629810485"/>
  </sheetPr>
  <dimension ref="A1:I4"/>
  <sheetViews>
    <sheetView tabSelected="1" zoomScaleNormal="100" workbookViewId="0">
      <selection activeCell="A3" sqref="A3"/>
    </sheetView>
  </sheetViews>
  <sheetFormatPr defaultColWidth="9" defaultRowHeight="15.75" x14ac:dyDescent="0.25"/>
  <cols>
    <col min="1" max="16384" width="9" style="46"/>
  </cols>
  <sheetData>
    <row r="1" spans="1:9" ht="18.75" customHeight="1" x14ac:dyDescent="0.3">
      <c r="A1" s="50" t="str">
        <f>"CAUSE NUMBER "&amp; +Inputs!C6</f>
        <v>CAUSE NUMBER 46084-U</v>
      </c>
      <c r="B1" s="177"/>
      <c r="C1" s="177"/>
      <c r="D1" s="177"/>
      <c r="E1" s="177"/>
      <c r="F1" s="177"/>
      <c r="G1" s="177"/>
      <c r="H1" s="177"/>
      <c r="I1" s="177"/>
    </row>
    <row r="2" spans="1:9" x14ac:dyDescent="0.25">
      <c r="A2" s="50" t="s">
        <v>0</v>
      </c>
    </row>
    <row r="3" spans="1:9" ht="18.75" x14ac:dyDescent="0.3">
      <c r="A3" s="50" t="str">
        <f>"Workpaper "&amp;+Inputs!C12&amp;"-1"</f>
        <v>Workpaper TWM-1</v>
      </c>
      <c r="B3" s="177"/>
      <c r="C3" s="177"/>
      <c r="D3" s="177"/>
      <c r="E3" s="177"/>
      <c r="F3" s="177"/>
      <c r="G3" s="177"/>
      <c r="H3" s="177"/>
      <c r="I3" s="177"/>
    </row>
    <row r="4" spans="1:9" x14ac:dyDescent="0.25">
      <c r="A4" s="50" t="s">
        <v>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indexed="11"/>
  </sheetPr>
  <dimension ref="A1:O29"/>
  <sheetViews>
    <sheetView view="pageBreakPreview" zoomScaleNormal="125" zoomScaleSheetLayoutView="100" workbookViewId="0"/>
  </sheetViews>
  <sheetFormatPr defaultRowHeight="15.75" x14ac:dyDescent="0.25"/>
  <cols>
    <col min="1" max="1" width="9.25" customWidth="1"/>
    <col min="5" max="5" width="12.875" bestFit="1" customWidth="1"/>
    <col min="7" max="7" width="6.25" customWidth="1"/>
    <col min="8" max="8" width="13.875" customWidth="1"/>
  </cols>
  <sheetData>
    <row r="1" spans="1:15" x14ac:dyDescent="0.25">
      <c r="A1" s="2"/>
      <c r="B1" s="2"/>
      <c r="C1" s="2"/>
      <c r="D1" s="2"/>
      <c r="E1" s="2"/>
      <c r="F1" s="2"/>
      <c r="G1" s="2"/>
      <c r="H1" s="16" t="str">
        <f>+'Sch 1'!I1</f>
        <v>OUCC</v>
      </c>
    </row>
    <row r="2" spans="1:15" x14ac:dyDescent="0.25">
      <c r="A2" s="2"/>
      <c r="B2" s="2"/>
      <c r="C2" s="2"/>
      <c r="D2" s="2"/>
      <c r="E2" s="2"/>
      <c r="F2" s="2"/>
      <c r="G2" s="2"/>
      <c r="H2" s="16" t="s">
        <v>391</v>
      </c>
    </row>
    <row r="3" spans="1:15" x14ac:dyDescent="0.25">
      <c r="A3" s="2"/>
      <c r="B3" s="2"/>
      <c r="C3" s="2"/>
      <c r="D3" s="2"/>
      <c r="E3" s="2"/>
      <c r="F3" s="2"/>
      <c r="G3" s="2"/>
      <c r="H3" s="16" t="s">
        <v>196</v>
      </c>
    </row>
    <row r="4" spans="1:15" ht="20.100000000000001" customHeight="1" x14ac:dyDescent="0.3">
      <c r="A4" s="221" t="str">
        <f>+Inputs!$C$5</f>
        <v>Eastern Heights Utilities, Inc.</v>
      </c>
      <c r="B4" s="221"/>
      <c r="C4" s="221"/>
      <c r="D4" s="221"/>
      <c r="E4" s="221"/>
      <c r="F4" s="221"/>
      <c r="G4" s="221"/>
      <c r="H4" s="221"/>
      <c r="I4" s="238"/>
      <c r="J4" s="238"/>
      <c r="K4" s="238"/>
      <c r="L4" s="238"/>
      <c r="M4" s="238"/>
      <c r="N4" s="238"/>
    </row>
    <row r="5" spans="1:15" ht="18.75" x14ac:dyDescent="0.3">
      <c r="A5" s="217" t="str">
        <f>"CAUSE NUMBER "&amp;Inputs!$C$6</f>
        <v>CAUSE NUMBER 46084-U</v>
      </c>
      <c r="B5" s="217"/>
      <c r="C5" s="217"/>
      <c r="D5" s="217"/>
      <c r="E5" s="217"/>
      <c r="F5" s="217"/>
      <c r="G5" s="217"/>
      <c r="H5" s="217"/>
      <c r="I5" s="238"/>
      <c r="J5" s="238"/>
      <c r="K5" s="238"/>
      <c r="L5" s="238"/>
      <c r="M5" s="238"/>
      <c r="N5" s="238"/>
    </row>
    <row r="6" spans="1:15" x14ac:dyDescent="0.25">
      <c r="I6" s="238"/>
      <c r="J6" s="238"/>
      <c r="K6" s="238"/>
      <c r="L6" s="238"/>
      <c r="M6" s="238"/>
      <c r="N6" s="238"/>
    </row>
    <row r="7" spans="1:15" x14ac:dyDescent="0.25">
      <c r="A7" s="222" t="s">
        <v>40</v>
      </c>
      <c r="B7" s="222"/>
      <c r="C7" s="222"/>
      <c r="D7" s="222"/>
      <c r="E7" s="222"/>
      <c r="F7" s="222"/>
      <c r="G7" s="222"/>
      <c r="H7" s="222"/>
      <c r="I7" s="238"/>
      <c r="J7" s="238"/>
      <c r="K7" s="238"/>
      <c r="L7" s="238"/>
      <c r="M7" s="238"/>
      <c r="N7" s="238"/>
    </row>
    <row r="8" spans="1:15" x14ac:dyDescent="0.25">
      <c r="I8" s="54"/>
      <c r="J8" s="54"/>
      <c r="K8" s="54"/>
      <c r="L8" s="54"/>
      <c r="M8" s="54"/>
      <c r="N8" s="54"/>
    </row>
    <row r="9" spans="1:15" x14ac:dyDescent="0.25">
      <c r="I9" s="63"/>
      <c r="J9" s="54"/>
      <c r="K9" s="54"/>
      <c r="L9" s="54"/>
      <c r="M9" s="54"/>
      <c r="N9" s="54"/>
    </row>
    <row r="10" spans="1:15" x14ac:dyDescent="0.25">
      <c r="A10" t="s">
        <v>392</v>
      </c>
      <c r="H10" s="39">
        <f>SUM('Sch 4'!K30:K57)</f>
        <v>2667604</v>
      </c>
      <c r="I10" s="53"/>
    </row>
    <row r="11" spans="1:15" x14ac:dyDescent="0.25">
      <c r="A11" t="s">
        <v>393</v>
      </c>
      <c r="B11" t="s">
        <v>80</v>
      </c>
      <c r="H11" s="40">
        <f>+'Sch 4'!K63</f>
        <v>56585</v>
      </c>
      <c r="I11" s="53"/>
    </row>
    <row r="12" spans="1:15" x14ac:dyDescent="0.25">
      <c r="A12" t="s">
        <v>44</v>
      </c>
      <c r="B12" t="s">
        <v>394</v>
      </c>
      <c r="H12" s="40">
        <f>-'Sch 4'!K33</f>
        <v>-203004</v>
      </c>
      <c r="I12" s="62"/>
      <c r="J12" s="60"/>
      <c r="K12" s="60"/>
      <c r="L12" s="60"/>
      <c r="M12" s="60"/>
      <c r="N12" s="60"/>
      <c r="O12" s="60"/>
    </row>
    <row r="13" spans="1:15" x14ac:dyDescent="0.25">
      <c r="H13" s="122"/>
      <c r="I13" s="60"/>
      <c r="J13" s="60"/>
      <c r="K13" s="60"/>
      <c r="L13" s="60"/>
      <c r="M13" s="60"/>
      <c r="N13" s="60"/>
      <c r="O13" s="60"/>
    </row>
    <row r="14" spans="1:15" x14ac:dyDescent="0.25">
      <c r="A14" t="s">
        <v>395</v>
      </c>
      <c r="H14" s="123">
        <f>SUM(H10:H12)</f>
        <v>2521185</v>
      </c>
      <c r="I14" s="60"/>
      <c r="J14" s="60"/>
      <c r="K14" s="60"/>
      <c r="L14" s="60"/>
      <c r="M14" s="60"/>
      <c r="N14" s="60"/>
      <c r="O14" s="60"/>
    </row>
    <row r="15" spans="1:15" x14ac:dyDescent="0.25">
      <c r="A15" t="s">
        <v>396</v>
      </c>
      <c r="B15" t="s">
        <v>397</v>
      </c>
      <c r="H15">
        <f>ROUND(1/8,3)</f>
        <v>0.125</v>
      </c>
      <c r="I15" s="60"/>
      <c r="J15" s="60"/>
      <c r="K15" s="60"/>
      <c r="L15" s="60"/>
      <c r="M15" s="60"/>
      <c r="N15" s="60"/>
      <c r="O15" s="60"/>
    </row>
    <row r="16" spans="1:15" x14ac:dyDescent="0.25">
      <c r="H16" s="122"/>
      <c r="I16" s="62"/>
      <c r="J16" s="60"/>
      <c r="K16" s="60"/>
      <c r="L16" s="60"/>
      <c r="M16" s="60"/>
      <c r="N16" s="60"/>
      <c r="O16" s="60"/>
    </row>
    <row r="17" spans="1:15" x14ac:dyDescent="0.25">
      <c r="A17" t="s">
        <v>398</v>
      </c>
      <c r="H17" s="123">
        <f>ROUND(H14*H15,0)</f>
        <v>315148</v>
      </c>
      <c r="K17" s="60"/>
      <c r="L17" s="60"/>
      <c r="M17" s="60"/>
      <c r="N17" s="60"/>
      <c r="O17" s="60"/>
    </row>
    <row r="18" spans="1:15" x14ac:dyDescent="0.25">
      <c r="A18" t="s">
        <v>44</v>
      </c>
      <c r="B18" t="s">
        <v>399</v>
      </c>
      <c r="H18" s="48">
        <f>+E28</f>
        <v>-405997</v>
      </c>
      <c r="J18" s="60"/>
      <c r="K18" s="60"/>
      <c r="L18" s="60"/>
      <c r="M18" s="60"/>
      <c r="N18" s="60"/>
      <c r="O18" s="60"/>
    </row>
    <row r="19" spans="1:15" x14ac:dyDescent="0.25">
      <c r="A19" t="s">
        <v>400</v>
      </c>
      <c r="H19" s="154">
        <f>IF(+H17+E25+E26+E27&lt;0,0,H17-E25)</f>
        <v>0</v>
      </c>
      <c r="I19" s="60"/>
      <c r="J19" s="60"/>
      <c r="K19" s="60"/>
      <c r="L19" s="60"/>
      <c r="M19" s="60"/>
      <c r="N19" s="60"/>
      <c r="O19" s="60"/>
    </row>
    <row r="20" spans="1:15" x14ac:dyDescent="0.25">
      <c r="A20" t="s">
        <v>401</v>
      </c>
      <c r="B20" t="s">
        <v>402</v>
      </c>
      <c r="H20">
        <v>3</v>
      </c>
      <c r="I20" s="60"/>
      <c r="J20" s="60"/>
      <c r="K20" s="60"/>
      <c r="L20" s="60"/>
      <c r="M20" s="60"/>
      <c r="N20" s="60"/>
      <c r="O20" s="60"/>
    </row>
    <row r="21" spans="1:15" x14ac:dyDescent="0.25">
      <c r="H21" s="122"/>
      <c r="I21" s="60"/>
      <c r="J21" s="237"/>
      <c r="K21" s="237"/>
      <c r="L21" s="237"/>
      <c r="M21" s="237"/>
      <c r="N21" s="237"/>
      <c r="O21" s="237"/>
    </row>
    <row r="22" spans="1:15" ht="16.5" thickBot="1" x14ac:dyDescent="0.3">
      <c r="A22" s="30" t="s">
        <v>403</v>
      </c>
      <c r="H22" s="73">
        <f>ROUND(H19/H20,0)</f>
        <v>0</v>
      </c>
      <c r="J22" s="237"/>
      <c r="K22" s="237"/>
      <c r="L22" s="237"/>
      <c r="M22" s="237"/>
      <c r="N22" s="237"/>
      <c r="O22" s="237"/>
    </row>
    <row r="23" spans="1:15" ht="16.5" thickTop="1" x14ac:dyDescent="0.25">
      <c r="I23" s="60"/>
    </row>
    <row r="24" spans="1:15" x14ac:dyDescent="0.25">
      <c r="A24" s="30" t="s">
        <v>404</v>
      </c>
      <c r="I24" s="60"/>
    </row>
    <row r="25" spans="1:15" x14ac:dyDescent="0.25">
      <c r="B25" s="2" t="s">
        <v>405</v>
      </c>
      <c r="E25" s="40">
        <f>-'Sch 2 - BS'!E33</f>
        <v>-400</v>
      </c>
    </row>
    <row r="26" spans="1:15" x14ac:dyDescent="0.25">
      <c r="B26" s="2" t="s">
        <v>406</v>
      </c>
      <c r="E26" s="40">
        <f>-'Sch 2 - BS'!E36</f>
        <v>-126338</v>
      </c>
    </row>
    <row r="27" spans="1:15" x14ac:dyDescent="0.25">
      <c r="B27" s="2" t="s">
        <v>407</v>
      </c>
      <c r="E27" s="40">
        <f>-'Sch 2 - BS'!E37</f>
        <v>-279259</v>
      </c>
    </row>
    <row r="28" spans="1:15" ht="16.5" thickBot="1" x14ac:dyDescent="0.3">
      <c r="E28" s="153">
        <f>SUM(E25:E27)</f>
        <v>-405997</v>
      </c>
    </row>
    <row r="29" spans="1:15" ht="16.5" thickTop="1" x14ac:dyDescent="0.25"/>
  </sheetData>
  <mergeCells count="5">
    <mergeCell ref="A4:H4"/>
    <mergeCell ref="A5:H5"/>
    <mergeCell ref="A7:H7"/>
    <mergeCell ref="J21:O22"/>
    <mergeCell ref="I4:N7"/>
  </mergeCells>
  <phoneticPr fontId="7" type="noConversion"/>
  <pageMargins left="0.75" right="0.75" top="1" bottom="1" header="0.5" footer="0.5"/>
  <pageSetup orientation="portrait" verticalDpi="9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indexed="34"/>
  </sheetPr>
  <dimension ref="A1:P21"/>
  <sheetViews>
    <sheetView view="pageBreakPreview" zoomScaleNormal="125" zoomScaleSheetLayoutView="100" workbookViewId="0"/>
  </sheetViews>
  <sheetFormatPr defaultRowHeight="15.75" x14ac:dyDescent="0.25"/>
  <cols>
    <col min="1" max="1" width="22.75" customWidth="1"/>
    <col min="2" max="2" width="2.125" customWidth="1"/>
    <col min="3" max="3" width="12.125" bestFit="1" customWidth="1"/>
    <col min="4" max="4" width="1.625" customWidth="1"/>
    <col min="5" max="5" width="12.125" bestFit="1" customWidth="1"/>
    <col min="6" max="6" width="1.625" customWidth="1"/>
    <col min="7" max="7" width="12.125" bestFit="1" customWidth="1"/>
    <col min="8" max="8" width="1.625" customWidth="1"/>
    <col min="9" max="9" width="12.125" bestFit="1" customWidth="1"/>
  </cols>
  <sheetData>
    <row r="1" spans="1:16" x14ac:dyDescent="0.25">
      <c r="A1" s="2"/>
      <c r="B1" s="2"/>
      <c r="C1" s="2"/>
      <c r="D1" s="2"/>
      <c r="E1" s="2"/>
      <c r="F1" s="2"/>
      <c r="G1" s="2"/>
      <c r="H1" s="2"/>
      <c r="I1" s="16" t="str">
        <f>+'Sch 1'!I1</f>
        <v>OUCC</v>
      </c>
      <c r="J1" s="54"/>
      <c r="K1" s="54"/>
      <c r="L1" s="54"/>
      <c r="M1" s="54"/>
      <c r="N1" s="54"/>
      <c r="O1" s="54"/>
      <c r="P1" s="54"/>
    </row>
    <row r="2" spans="1:16" x14ac:dyDescent="0.25">
      <c r="A2" s="2"/>
      <c r="B2" s="2"/>
      <c r="C2" s="2"/>
      <c r="D2" s="2"/>
      <c r="E2" s="2"/>
      <c r="F2" s="2"/>
      <c r="G2" s="2"/>
      <c r="H2" s="2"/>
      <c r="I2" s="16" t="s">
        <v>408</v>
      </c>
      <c r="J2" s="54"/>
      <c r="K2" s="54"/>
      <c r="L2" s="54"/>
      <c r="M2" s="54"/>
      <c r="N2" s="54"/>
      <c r="O2" s="54"/>
      <c r="P2" s="54"/>
    </row>
    <row r="3" spans="1:16" x14ac:dyDescent="0.25">
      <c r="A3" s="2"/>
      <c r="B3" s="2"/>
      <c r="C3" s="2"/>
      <c r="D3" s="2"/>
      <c r="E3" s="2"/>
      <c r="F3" s="2"/>
      <c r="G3" s="2"/>
      <c r="H3" s="2"/>
      <c r="I3" s="16" t="s">
        <v>196</v>
      </c>
      <c r="J3" s="54"/>
      <c r="K3" s="54"/>
      <c r="L3" s="54"/>
      <c r="M3" s="54"/>
      <c r="N3" s="54"/>
      <c r="O3" s="54"/>
      <c r="P3" s="54"/>
    </row>
    <row r="4" spans="1:16" s="20" customFormat="1" ht="20.25" x14ac:dyDescent="0.3">
      <c r="A4" s="221" t="str">
        <f>+Inputs!$C$5</f>
        <v>Eastern Heights Utilities, Inc.</v>
      </c>
      <c r="B4" s="223"/>
      <c r="C4" s="223"/>
      <c r="D4" s="223"/>
      <c r="E4" s="223"/>
      <c r="F4" s="223"/>
      <c r="G4" s="223"/>
      <c r="H4" s="223"/>
      <c r="I4" s="223"/>
      <c r="J4" s="56"/>
      <c r="K4" s="56"/>
      <c r="L4" s="56"/>
      <c r="M4" s="56"/>
      <c r="N4" s="56"/>
      <c r="O4" s="56"/>
      <c r="P4" s="56"/>
    </row>
    <row r="5" spans="1:16" s="20" customFormat="1" ht="18.75" x14ac:dyDescent="0.3">
      <c r="A5" s="217" t="str">
        <f>"CAUSE NUMBER "&amp;Inputs!$C$6</f>
        <v>CAUSE NUMBER 46084-U</v>
      </c>
      <c r="B5" s="223"/>
      <c r="C5" s="223"/>
      <c r="D5" s="223"/>
      <c r="E5" s="223"/>
      <c r="F5" s="223"/>
      <c r="G5" s="223"/>
      <c r="H5" s="223"/>
      <c r="I5" s="223"/>
      <c r="J5" s="56"/>
      <c r="K5" s="56"/>
      <c r="L5" s="56"/>
      <c r="M5" s="56"/>
      <c r="N5" s="56"/>
      <c r="O5" s="56"/>
      <c r="P5" s="56"/>
    </row>
    <row r="6" spans="1:16" x14ac:dyDescent="0.25">
      <c r="J6" s="54"/>
      <c r="K6" s="54"/>
      <c r="L6" s="54"/>
      <c r="M6" s="54"/>
      <c r="N6" s="54"/>
      <c r="O6" s="54"/>
      <c r="P6" s="54"/>
    </row>
    <row r="7" spans="1:16" x14ac:dyDescent="0.25">
      <c r="A7" s="222" t="s">
        <v>41</v>
      </c>
      <c r="B7" s="223"/>
      <c r="C7" s="223"/>
      <c r="D7" s="223"/>
      <c r="E7" s="223"/>
      <c r="F7" s="223"/>
      <c r="G7" s="223"/>
      <c r="H7" s="223"/>
      <c r="I7" s="223"/>
      <c r="J7" s="54"/>
      <c r="K7" s="54"/>
      <c r="L7" s="54"/>
      <c r="M7" s="54"/>
      <c r="N7" s="54"/>
      <c r="O7" s="54"/>
      <c r="P7" s="54"/>
    </row>
    <row r="8" spans="1:16" x14ac:dyDescent="0.25">
      <c r="J8" s="54"/>
      <c r="K8" s="239"/>
      <c r="L8" s="239"/>
      <c r="M8" s="239"/>
      <c r="N8" s="239"/>
      <c r="O8" s="54"/>
      <c r="P8" s="54"/>
    </row>
    <row r="9" spans="1:16" x14ac:dyDescent="0.25">
      <c r="A9" s="135" t="s">
        <v>409</v>
      </c>
      <c r="J9" s="54"/>
      <c r="K9" s="239"/>
      <c r="L9" s="239"/>
      <c r="M9" s="239"/>
      <c r="N9" s="239"/>
      <c r="O9" s="54"/>
      <c r="P9" s="54"/>
    </row>
    <row r="10" spans="1:16" x14ac:dyDescent="0.25">
      <c r="J10" s="54"/>
      <c r="K10" s="239"/>
      <c r="L10" s="239"/>
      <c r="M10" s="239"/>
      <c r="N10" s="239"/>
      <c r="O10" s="54"/>
      <c r="P10" s="54"/>
    </row>
    <row r="11" spans="1:16" x14ac:dyDescent="0.25">
      <c r="C11" s="201"/>
      <c r="D11" s="201"/>
      <c r="E11" s="201"/>
      <c r="F11" s="201"/>
      <c r="G11" s="201"/>
      <c r="H11" s="201"/>
      <c r="I11" s="201"/>
      <c r="J11" s="54"/>
      <c r="K11" s="54"/>
      <c r="L11" s="54"/>
      <c r="M11" s="54"/>
      <c r="N11" s="54"/>
      <c r="O11" s="54"/>
      <c r="P11" s="54"/>
    </row>
    <row r="12" spans="1:16" x14ac:dyDescent="0.25">
      <c r="J12" s="54"/>
      <c r="K12" s="54"/>
      <c r="L12" s="54"/>
      <c r="M12" s="54"/>
      <c r="N12" s="54"/>
      <c r="O12" s="54"/>
      <c r="P12" s="54"/>
    </row>
    <row r="13" spans="1:16" x14ac:dyDescent="0.25">
      <c r="A13" t="s">
        <v>410</v>
      </c>
      <c r="D13" s="76"/>
      <c r="E13" s="136"/>
      <c r="F13" s="136"/>
      <c r="G13" s="136"/>
      <c r="H13" s="78"/>
      <c r="I13" s="39">
        <v>102996</v>
      </c>
      <c r="J13" s="54"/>
      <c r="K13" s="54"/>
      <c r="L13" s="54"/>
      <c r="M13" s="54"/>
      <c r="N13" s="54"/>
      <c r="O13" s="54"/>
      <c r="P13" s="54"/>
    </row>
    <row r="14" spans="1:16" x14ac:dyDescent="0.25">
      <c r="A14" t="s">
        <v>411</v>
      </c>
      <c r="D14" s="65"/>
      <c r="E14" s="137"/>
      <c r="F14" s="137"/>
      <c r="G14" s="137"/>
      <c r="I14" s="40">
        <v>67704</v>
      </c>
      <c r="J14" s="239"/>
      <c r="K14" s="239"/>
      <c r="L14" s="239"/>
      <c r="M14" s="239"/>
      <c r="N14" s="239"/>
      <c r="O14" s="239"/>
      <c r="P14" s="239"/>
    </row>
    <row r="15" spans="1:16" x14ac:dyDescent="0.25">
      <c r="A15" t="s">
        <v>412</v>
      </c>
      <c r="D15" s="65"/>
      <c r="E15" s="137"/>
      <c r="F15" s="137"/>
      <c r="G15" s="137"/>
      <c r="I15" s="40">
        <v>154632</v>
      </c>
      <c r="J15" s="239"/>
      <c r="K15" s="239"/>
      <c r="L15" s="239"/>
      <c r="M15" s="239"/>
      <c r="N15" s="239"/>
      <c r="O15" s="239"/>
      <c r="P15" s="239"/>
    </row>
    <row r="16" spans="1:16" x14ac:dyDescent="0.25">
      <c r="A16" t="s">
        <v>413</v>
      </c>
      <c r="D16" s="65"/>
      <c r="E16" s="137"/>
      <c r="F16" s="137"/>
      <c r="G16" s="137"/>
      <c r="I16" s="40">
        <v>190209.36000000002</v>
      </c>
      <c r="J16" s="239"/>
      <c r="K16" s="239"/>
      <c r="L16" s="239"/>
      <c r="M16" s="239"/>
      <c r="N16" s="239"/>
      <c r="O16" s="239"/>
      <c r="P16" s="239"/>
    </row>
    <row r="17" spans="1:16" ht="16.5" thickBot="1" x14ac:dyDescent="0.3">
      <c r="E17" s="48"/>
      <c r="G17" s="48"/>
      <c r="I17" s="138">
        <f>SUM(I13:I16)</f>
        <v>515541.36</v>
      </c>
      <c r="J17" s="54"/>
      <c r="K17" s="239"/>
      <c r="L17" s="239"/>
      <c r="M17" s="239"/>
      <c r="N17" s="239"/>
      <c r="O17" s="239"/>
      <c r="P17" s="239"/>
    </row>
    <row r="18" spans="1:16" ht="16.5" thickTop="1" x14ac:dyDescent="0.25">
      <c r="J18" s="54"/>
      <c r="K18" s="239"/>
      <c r="L18" s="239"/>
      <c r="M18" s="239"/>
      <c r="N18" s="239"/>
      <c r="O18" s="239"/>
      <c r="P18" s="239"/>
    </row>
    <row r="19" spans="1:16" x14ac:dyDescent="0.25">
      <c r="J19" s="54"/>
      <c r="K19" s="54"/>
      <c r="L19" s="54"/>
      <c r="M19" s="54"/>
      <c r="N19" s="54"/>
      <c r="O19" s="54"/>
      <c r="P19" s="54"/>
    </row>
    <row r="20" spans="1:16" x14ac:dyDescent="0.25">
      <c r="A20" s="30"/>
      <c r="J20" s="54"/>
      <c r="K20" s="54"/>
      <c r="L20" s="54"/>
      <c r="M20" s="54"/>
      <c r="N20" s="54"/>
      <c r="O20" s="54"/>
      <c r="P20" s="54"/>
    </row>
    <row r="21" spans="1:16" x14ac:dyDescent="0.25">
      <c r="J21" s="54"/>
      <c r="K21" s="54"/>
      <c r="L21" s="54"/>
      <c r="M21" s="54"/>
      <c r="N21" s="54"/>
      <c r="O21" s="54"/>
      <c r="P21" s="54"/>
    </row>
  </sheetData>
  <mergeCells count="6">
    <mergeCell ref="A4:I4"/>
    <mergeCell ref="A5:I5"/>
    <mergeCell ref="A7:I7"/>
    <mergeCell ref="K17:P18"/>
    <mergeCell ref="K8:N10"/>
    <mergeCell ref="J14:P16"/>
  </mergeCells>
  <phoneticPr fontId="7" type="noConversion"/>
  <pageMargins left="0.75" right="0.75" top="1" bottom="1" header="0.5" footer="0.5"/>
  <pageSetup scale="97" orientation="portrait" horizontalDpi="90" verticalDpi="9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indexed="51"/>
  </sheetPr>
  <dimension ref="A1:T11"/>
  <sheetViews>
    <sheetView view="pageBreakPreview" zoomScaleNormal="100" zoomScaleSheetLayoutView="100" workbookViewId="0"/>
  </sheetViews>
  <sheetFormatPr defaultRowHeight="15.75" x14ac:dyDescent="0.25"/>
  <cols>
    <col min="1" max="1" width="26.875" customWidth="1"/>
    <col min="2" max="2" width="2.25" customWidth="1"/>
    <col min="3" max="3" width="11.125" bestFit="1" customWidth="1"/>
    <col min="4" max="4" width="1.625" customWidth="1"/>
    <col min="5" max="5" width="10" customWidth="1"/>
    <col min="6" max="6" width="1.625" customWidth="1"/>
    <col min="8" max="9" width="1.625" customWidth="1"/>
    <col min="10" max="10" width="6.625" customWidth="1"/>
    <col min="11" max="11" width="1.625" customWidth="1"/>
    <col min="12" max="12" width="11.125" customWidth="1"/>
  </cols>
  <sheetData>
    <row r="1" spans="1:20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6" t="str">
        <f>+'Sch 1'!I1</f>
        <v>OUCC</v>
      </c>
      <c r="M1" s="54"/>
      <c r="N1" s="54"/>
      <c r="O1" s="54"/>
      <c r="P1" s="54"/>
      <c r="Q1" s="54"/>
      <c r="R1" s="54"/>
      <c r="S1" s="54"/>
      <c r="T1" s="54"/>
    </row>
    <row r="2" spans="1:20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6" t="s">
        <v>414</v>
      </c>
      <c r="M2" s="54"/>
      <c r="N2" s="54"/>
      <c r="O2" s="54"/>
      <c r="P2" s="54"/>
      <c r="Q2" s="54"/>
      <c r="R2" s="54"/>
      <c r="S2" s="54"/>
      <c r="T2" s="54"/>
    </row>
    <row r="3" spans="1:20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6" t="s">
        <v>196</v>
      </c>
      <c r="M3" s="54"/>
      <c r="N3" s="54"/>
      <c r="O3" s="54"/>
      <c r="P3" s="54"/>
      <c r="Q3" s="54"/>
      <c r="R3" s="54"/>
      <c r="S3" s="54"/>
      <c r="T3" s="54"/>
    </row>
    <row r="4" spans="1:20" s="20" customFormat="1" ht="20.25" x14ac:dyDescent="0.3">
      <c r="A4" s="221" t="str">
        <f>+Inputs!$C$5</f>
        <v>Eastern Heights Utilities, Inc.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56"/>
      <c r="N4" s="56"/>
      <c r="O4" s="56"/>
      <c r="P4" s="56"/>
      <c r="Q4" s="56"/>
      <c r="R4" s="56"/>
      <c r="S4" s="56"/>
      <c r="T4" s="56"/>
    </row>
    <row r="5" spans="1:20" s="20" customFormat="1" ht="18.75" x14ac:dyDescent="0.3">
      <c r="A5" s="217" t="str">
        <f>"CAUSE NUMBER "&amp;Inputs!$C$6</f>
        <v>CAUSE NUMBER 46084-U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54"/>
      <c r="N5" s="54"/>
      <c r="O5" s="54"/>
      <c r="P5" s="54"/>
      <c r="Q5" s="54"/>
      <c r="R5" s="56"/>
      <c r="S5" s="56"/>
      <c r="T5" s="56"/>
    </row>
    <row r="6" spans="1:20" x14ac:dyDescent="0.25">
      <c r="M6" s="54"/>
      <c r="N6" s="54"/>
      <c r="O6" s="54"/>
      <c r="P6" s="54"/>
      <c r="Q6" s="54"/>
      <c r="R6" s="54"/>
      <c r="S6" s="54"/>
      <c r="T6" s="54"/>
    </row>
    <row r="7" spans="1:20" x14ac:dyDescent="0.25">
      <c r="A7" s="222" t="s">
        <v>42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54"/>
      <c r="N7" s="239"/>
      <c r="O7" s="239"/>
      <c r="P7" s="239"/>
      <c r="Q7" s="239"/>
      <c r="R7" s="54"/>
      <c r="S7" s="54"/>
      <c r="T7" s="54"/>
    </row>
    <row r="8" spans="1:20" x14ac:dyDescent="0.25">
      <c r="M8" s="54"/>
      <c r="N8" s="239"/>
      <c r="O8" s="239"/>
      <c r="P8" s="239"/>
      <c r="Q8" s="239"/>
      <c r="R8" s="54"/>
      <c r="S8" s="54"/>
      <c r="T8" s="54"/>
    </row>
    <row r="11" spans="1:20" ht="30" customHeight="1" x14ac:dyDescent="0.25">
      <c r="A11" s="240" t="s">
        <v>415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</row>
  </sheetData>
  <mergeCells count="5">
    <mergeCell ref="A11:L11"/>
    <mergeCell ref="N7:Q8"/>
    <mergeCell ref="A4:L4"/>
    <mergeCell ref="A5:L5"/>
    <mergeCell ref="A7:L7"/>
  </mergeCells>
  <phoneticPr fontId="7" type="noConversion"/>
  <printOptions horizontalCentered="1"/>
  <pageMargins left="0.25" right="0.25" top="0.75" bottom="0.5" header="0.5" footer="0.5"/>
  <pageSetup orientation="portrait" horizontalDpi="90" verticalDpi="9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indexed="10"/>
  </sheetPr>
  <dimension ref="A1:Q40"/>
  <sheetViews>
    <sheetView view="pageBreakPreview" zoomScale="110" zoomScaleNormal="125" zoomScaleSheetLayoutView="110" workbookViewId="0"/>
  </sheetViews>
  <sheetFormatPr defaultRowHeight="15.75" x14ac:dyDescent="0.25"/>
  <cols>
    <col min="4" max="4" width="10.5" customWidth="1"/>
    <col min="5" max="5" width="1.625" customWidth="1"/>
    <col min="6" max="6" width="10.5" customWidth="1"/>
    <col min="7" max="7" width="1.625" customWidth="1"/>
    <col min="8" max="8" width="10.5" customWidth="1"/>
    <col min="9" max="9" width="1.625" customWidth="1"/>
    <col min="10" max="10" width="11.125" customWidth="1"/>
  </cols>
  <sheetData>
    <row r="1" spans="1:17" x14ac:dyDescent="0.25">
      <c r="J1" s="16" t="str">
        <f>+'Sch 1'!I1</f>
        <v>OUCC</v>
      </c>
    </row>
    <row r="2" spans="1:17" x14ac:dyDescent="0.25">
      <c r="J2" s="16" t="s">
        <v>416</v>
      </c>
    </row>
    <row r="3" spans="1:17" x14ac:dyDescent="0.25">
      <c r="J3" s="16" t="s">
        <v>196</v>
      </c>
    </row>
    <row r="4" spans="1:17" s="20" customFormat="1" ht="20.25" x14ac:dyDescent="0.3">
      <c r="A4" s="221" t="str">
        <f>+Inputs!$C$5</f>
        <v>Eastern Heights Utilities, Inc.</v>
      </c>
      <c r="B4" s="221"/>
      <c r="C4" s="221"/>
      <c r="D4" s="221"/>
      <c r="E4" s="221"/>
      <c r="F4" s="221"/>
      <c r="G4" s="221"/>
      <c r="H4" s="221"/>
      <c r="I4" s="221"/>
      <c r="J4" s="221"/>
    </row>
    <row r="5" spans="1:17" s="20" customFormat="1" ht="18.75" x14ac:dyDescent="0.3">
      <c r="A5" s="217" t="str">
        <f>"CAUSE NUMBER "&amp;Inputs!$C$6</f>
        <v>CAUSE NUMBER 46084-U</v>
      </c>
      <c r="B5" s="217"/>
      <c r="C5" s="217"/>
      <c r="D5" s="217"/>
      <c r="E5" s="217"/>
      <c r="F5" s="217"/>
      <c r="G5" s="217"/>
      <c r="H5" s="217"/>
      <c r="I5" s="217"/>
      <c r="J5" s="217"/>
    </row>
    <row r="7" spans="1:17" x14ac:dyDescent="0.25">
      <c r="A7" s="222" t="s">
        <v>417</v>
      </c>
      <c r="B7" s="222"/>
      <c r="C7" s="222"/>
      <c r="D7" s="222"/>
      <c r="E7" s="222"/>
      <c r="F7" s="222"/>
      <c r="G7" s="222"/>
      <c r="H7" s="222"/>
      <c r="I7" s="222"/>
      <c r="J7" s="222"/>
    </row>
    <row r="9" spans="1:17" x14ac:dyDescent="0.25">
      <c r="D9" s="201"/>
      <c r="F9" s="201" t="s">
        <v>34</v>
      </c>
      <c r="H9" s="201" t="s">
        <v>27</v>
      </c>
      <c r="J9" s="201" t="s">
        <v>27</v>
      </c>
    </row>
    <row r="10" spans="1:17" x14ac:dyDescent="0.25">
      <c r="D10" s="82" t="s">
        <v>20</v>
      </c>
      <c r="F10" s="82" t="s">
        <v>57</v>
      </c>
      <c r="H10" s="82" t="s">
        <v>57</v>
      </c>
      <c r="J10" s="82" t="s">
        <v>36</v>
      </c>
    </row>
    <row r="12" spans="1:17" x14ac:dyDescent="0.25">
      <c r="A12" s="30" t="s">
        <v>418</v>
      </c>
      <c r="D12" s="39"/>
      <c r="E12" s="39"/>
      <c r="F12" s="39"/>
      <c r="G12" s="39"/>
      <c r="H12" s="39"/>
      <c r="J12" s="48"/>
    </row>
    <row r="13" spans="1:17" x14ac:dyDescent="0.25">
      <c r="A13" t="s">
        <v>419</v>
      </c>
      <c r="D13" s="65">
        <v>6.34</v>
      </c>
      <c r="F13" s="76">
        <f>ROUND(D13*(1+'Sch 1'!$C$36),4)</f>
        <v>10.106299999999999</v>
      </c>
      <c r="H13" s="76">
        <f>ROUND(D13*(1+'Sch 1'!$E$36),4)</f>
        <v>9.0677000000000003</v>
      </c>
      <c r="J13" s="67">
        <f>+H13-F13</f>
        <v>-1.0385999999999989</v>
      </c>
      <c r="M13" s="69"/>
      <c r="O13" s="69"/>
      <c r="Q13" s="69"/>
    </row>
    <row r="14" spans="1:17" x14ac:dyDescent="0.25">
      <c r="A14" t="s">
        <v>420</v>
      </c>
      <c r="D14" s="65">
        <v>4.32</v>
      </c>
      <c r="F14" s="65">
        <f>ROUND(D14*(1+'Sch 1'!$C$36),4)</f>
        <v>6.8863000000000003</v>
      </c>
      <c r="H14" s="65">
        <f>ROUND(D14*(1+'Sch 1'!$E$36),4)</f>
        <v>6.1787000000000001</v>
      </c>
      <c r="J14" s="65">
        <f t="shared" ref="J14:J40" si="0">+H14-F14</f>
        <v>-0.70760000000000023</v>
      </c>
      <c r="M14" s="69"/>
      <c r="O14" s="69"/>
      <c r="Q14" s="69"/>
    </row>
    <row r="15" spans="1:17" x14ac:dyDescent="0.25">
      <c r="A15" t="s">
        <v>421</v>
      </c>
      <c r="D15" s="65">
        <v>3.39</v>
      </c>
      <c r="F15" s="65">
        <f>ROUND(D15*(1+'Sch 1'!$C$36),4)</f>
        <v>5.4038000000000004</v>
      </c>
      <c r="H15" s="65">
        <f>ROUND(D15*(1+'Sch 1'!$E$36),4)</f>
        <v>4.8484999999999996</v>
      </c>
      <c r="J15" s="65">
        <f t="shared" si="0"/>
        <v>-0.55530000000000079</v>
      </c>
      <c r="M15" s="69"/>
      <c r="O15" s="69"/>
      <c r="Q15" s="69"/>
    </row>
    <row r="16" spans="1:17" x14ac:dyDescent="0.25">
      <c r="A16" t="s">
        <v>422</v>
      </c>
      <c r="D16" s="65">
        <v>3.05</v>
      </c>
      <c r="F16" s="65">
        <f>ROUND(D16*(1+'Sch 1'!$C$36),4)</f>
        <v>4.8617999999999997</v>
      </c>
      <c r="H16" s="65">
        <f>ROUND(D16*(1+'Sch 1'!$E$36),4)</f>
        <v>4.3621999999999996</v>
      </c>
      <c r="J16" s="65">
        <f t="shared" si="0"/>
        <v>-0.49960000000000004</v>
      </c>
      <c r="N16" s="69"/>
    </row>
    <row r="17" spans="1:14" x14ac:dyDescent="0.25">
      <c r="A17" t="s">
        <v>423</v>
      </c>
      <c r="D17" s="65">
        <v>2.77</v>
      </c>
      <c r="F17" s="65">
        <f>ROUND(D17*(1+'Sch 1'!$C$36),4)</f>
        <v>4.4154999999999998</v>
      </c>
      <c r="H17" s="65">
        <f>ROUND(D17*(1+'Sch 1'!$E$36),4)</f>
        <v>3.9618000000000002</v>
      </c>
      <c r="J17" s="65">
        <f t="shared" si="0"/>
        <v>-0.45369999999999955</v>
      </c>
    </row>
    <row r="18" spans="1:14" x14ac:dyDescent="0.25">
      <c r="F18" s="39"/>
      <c r="H18" s="39"/>
      <c r="J18" s="48"/>
    </row>
    <row r="19" spans="1:14" x14ac:dyDescent="0.25">
      <c r="A19" t="s">
        <v>424</v>
      </c>
      <c r="F19" s="39"/>
      <c r="H19" s="39"/>
      <c r="J19" s="48"/>
    </row>
    <row r="20" spans="1:14" x14ac:dyDescent="0.25">
      <c r="A20" t="s">
        <v>425</v>
      </c>
      <c r="D20" s="65">
        <v>19.02</v>
      </c>
      <c r="F20" s="76">
        <f>ROUND(D20*(1+'Sch 1'!$C$36),4)</f>
        <v>30.3188</v>
      </c>
      <c r="G20" s="67"/>
      <c r="H20" s="76">
        <f>ROUND(D20*(1+'Sch 1'!$E$36),4)</f>
        <v>27.203199999999999</v>
      </c>
      <c r="I20" s="67"/>
      <c r="J20" s="67">
        <f t="shared" si="0"/>
        <v>-3.1156000000000006</v>
      </c>
      <c r="N20" s="2"/>
    </row>
    <row r="21" spans="1:14" x14ac:dyDescent="0.25">
      <c r="A21" t="s">
        <v>426</v>
      </c>
      <c r="D21" s="65">
        <v>25.51</v>
      </c>
      <c r="F21" s="65">
        <f>ROUND(D21*(1+'Sch 1'!$C$36),4)</f>
        <v>40.664099999999998</v>
      </c>
      <c r="H21" s="65">
        <f>ROUND(D21*(1+'Sch 1'!$E$36),4)</f>
        <v>36.485500000000002</v>
      </c>
      <c r="J21" s="65">
        <f t="shared" si="0"/>
        <v>-4.1785999999999959</v>
      </c>
    </row>
    <row r="22" spans="1:14" x14ac:dyDescent="0.25">
      <c r="A22" t="s">
        <v>427</v>
      </c>
      <c r="D22" s="65">
        <v>38.46</v>
      </c>
      <c r="F22" s="65">
        <f>ROUND(D22*(1+'Sch 1'!$C$36),4)</f>
        <v>61.307000000000002</v>
      </c>
      <c r="H22" s="65">
        <f>ROUND(D22*(1+'Sch 1'!$E$36),4)</f>
        <v>55.007199999999997</v>
      </c>
      <c r="J22" s="65">
        <f t="shared" si="0"/>
        <v>-6.2998000000000047</v>
      </c>
    </row>
    <row r="23" spans="1:14" x14ac:dyDescent="0.25">
      <c r="A23" t="s">
        <v>428</v>
      </c>
      <c r="D23" s="65">
        <v>78.98</v>
      </c>
      <c r="F23" s="65">
        <f>ROUND(D23*(1+'Sch 1'!$C$36),4)</f>
        <v>125.8978</v>
      </c>
      <c r="H23" s="65">
        <f>ROUND(D23*(1+'Sch 1'!$E$36),4)</f>
        <v>112.9607</v>
      </c>
      <c r="J23" s="65">
        <f t="shared" si="0"/>
        <v>-12.937100000000001</v>
      </c>
    </row>
    <row r="24" spans="1:14" x14ac:dyDescent="0.25">
      <c r="A24" t="s">
        <v>429</v>
      </c>
      <c r="D24" s="65">
        <v>121.76</v>
      </c>
      <c r="F24" s="65">
        <f>ROUND(D24*(1+'Sch 1'!$C$36),4)</f>
        <v>194.09119999999999</v>
      </c>
      <c r="H24" s="65">
        <f>ROUND(D24*(1+'Sch 1'!$E$36),4)</f>
        <v>174.1465</v>
      </c>
      <c r="J24" s="65">
        <f t="shared" si="0"/>
        <v>-19.944699999999983</v>
      </c>
    </row>
    <row r="25" spans="1:14" x14ac:dyDescent="0.25">
      <c r="A25" t="s">
        <v>430</v>
      </c>
      <c r="D25" s="65">
        <v>247.59</v>
      </c>
      <c r="F25" s="65">
        <f>ROUND(D25*(1+'Sch 1'!$C$36),4)</f>
        <v>394.67009999999999</v>
      </c>
      <c r="H25" s="65">
        <f>ROUND(D25*(1+'Sch 1'!$E$36),4)</f>
        <v>354.11410000000001</v>
      </c>
      <c r="J25" s="65">
        <f t="shared" si="0"/>
        <v>-40.555999999999983</v>
      </c>
    </row>
    <row r="26" spans="1:14" x14ac:dyDescent="0.25">
      <c r="A26" t="s">
        <v>431</v>
      </c>
      <c r="D26" s="65">
        <v>412.23</v>
      </c>
      <c r="F26" s="65">
        <f>ROUND(D26*(1+'Sch 1'!$C$36),4)</f>
        <v>657.11400000000003</v>
      </c>
      <c r="H26" s="65">
        <f>ROUND(D26*(1+'Sch 1'!$E$36),4)</f>
        <v>589.58950000000004</v>
      </c>
      <c r="J26" s="65">
        <f t="shared" si="0"/>
        <v>-67.524499999999989</v>
      </c>
    </row>
    <row r="27" spans="1:14" x14ac:dyDescent="0.25">
      <c r="A27" t="s">
        <v>432</v>
      </c>
      <c r="D27" s="65">
        <v>843.22</v>
      </c>
      <c r="F27" s="65">
        <f>ROUND(D27*(1+'Sch 1'!$C$36),4)</f>
        <v>1344.1323</v>
      </c>
      <c r="H27" s="65">
        <f>ROUND(D27*(1+'Sch 1'!$E$36),4)</f>
        <v>1206.0102999999999</v>
      </c>
      <c r="J27" s="65">
        <f t="shared" si="0"/>
        <v>-138.12200000000007</v>
      </c>
    </row>
    <row r="28" spans="1:14" x14ac:dyDescent="0.25">
      <c r="F28" s="39"/>
      <c r="H28" s="39"/>
      <c r="J28" s="48"/>
    </row>
    <row r="29" spans="1:14" x14ac:dyDescent="0.25">
      <c r="A29" s="30" t="s">
        <v>433</v>
      </c>
      <c r="F29" s="39"/>
      <c r="H29" s="39"/>
      <c r="J29" s="48"/>
    </row>
    <row r="30" spans="1:14" x14ac:dyDescent="0.25">
      <c r="A30" t="s">
        <v>434</v>
      </c>
      <c r="D30" s="65">
        <v>467.19</v>
      </c>
      <c r="F30" s="76">
        <f>ROUND(D30*(1+'Sch 1'!$C$36),4)</f>
        <v>744.72280000000001</v>
      </c>
      <c r="G30" s="67"/>
      <c r="H30" s="76">
        <f>ROUND(D30*(1+'Sch 1'!$E$36),4)</f>
        <v>668.19569999999999</v>
      </c>
      <c r="I30" s="67"/>
      <c r="J30" s="67">
        <f t="shared" si="0"/>
        <v>-76.527100000000019</v>
      </c>
    </row>
    <row r="31" spans="1:14" x14ac:dyDescent="0.25">
      <c r="A31" t="s">
        <v>435</v>
      </c>
      <c r="D31" s="65">
        <v>467.19</v>
      </c>
      <c r="F31" s="65">
        <f>ROUND(D31*(1+'Sch 1'!$C$36),4)</f>
        <v>744.72280000000001</v>
      </c>
      <c r="H31" s="65">
        <f>ROUND(D31*(1+'Sch 1'!$E$36),4)</f>
        <v>668.19569999999999</v>
      </c>
      <c r="J31" s="65">
        <f t="shared" si="0"/>
        <v>-76.527100000000019</v>
      </c>
    </row>
    <row r="32" spans="1:14" x14ac:dyDescent="0.25">
      <c r="F32" s="39"/>
      <c r="H32" s="39"/>
      <c r="J32" s="48"/>
    </row>
    <row r="33" spans="1:12" x14ac:dyDescent="0.25">
      <c r="A33" s="30" t="s">
        <v>436</v>
      </c>
      <c r="F33" s="39"/>
      <c r="H33" s="39"/>
      <c r="J33" s="48"/>
    </row>
    <row r="34" spans="1:12" x14ac:dyDescent="0.25">
      <c r="A34" t="s">
        <v>437</v>
      </c>
      <c r="D34" s="65">
        <v>74.650000000000006</v>
      </c>
      <c r="F34" s="76">
        <f>ROUND(D34*(1+'Sch 1'!$C$36),4)</f>
        <v>118.9956</v>
      </c>
      <c r="G34" s="67"/>
      <c r="H34" s="76">
        <f>ROUND(D34*(1+'Sch 1'!$E$36),4)</f>
        <v>106.7677</v>
      </c>
      <c r="I34" s="67"/>
      <c r="J34" s="67">
        <f t="shared" si="0"/>
        <v>-12.227899999999991</v>
      </c>
      <c r="L34" s="69"/>
    </row>
    <row r="35" spans="1:12" x14ac:dyDescent="0.25">
      <c r="A35" t="s">
        <v>438</v>
      </c>
      <c r="D35" s="65">
        <v>167.98</v>
      </c>
      <c r="F35" s="65">
        <f>ROUND(D35*(1+'Sch 1'!$C$36),4)</f>
        <v>267.76799999999997</v>
      </c>
      <c r="H35" s="65">
        <f>ROUND(D35*(1+'Sch 1'!$E$36),4)</f>
        <v>240.25239999999999</v>
      </c>
      <c r="J35" s="65">
        <f t="shared" si="0"/>
        <v>-27.515599999999978</v>
      </c>
    </row>
    <row r="36" spans="1:12" x14ac:dyDescent="0.25">
      <c r="A36" t="s">
        <v>439</v>
      </c>
      <c r="D36" s="65">
        <v>298.60000000000002</v>
      </c>
      <c r="F36" s="65">
        <f>ROUND(D36*(1+'Sch 1'!$C$36),4)</f>
        <v>475.98239999999998</v>
      </c>
      <c r="H36" s="65">
        <f>ROUND(D36*(1+'Sch 1'!$E$36),4)</f>
        <v>427.07089999999999</v>
      </c>
      <c r="J36" s="65">
        <f t="shared" si="0"/>
        <v>-48.91149999999999</v>
      </c>
    </row>
    <row r="37" spans="1:12" x14ac:dyDescent="0.25">
      <c r="A37" t="s">
        <v>440</v>
      </c>
      <c r="D37" s="65">
        <v>671.85</v>
      </c>
      <c r="F37" s="65">
        <f>ROUND(D37*(1+'Sch 1'!$C$36),4)</f>
        <v>1070.9604999999999</v>
      </c>
      <c r="H37" s="65">
        <f>ROUND(D37*(1+'Sch 1'!$E$36),4)</f>
        <v>960.90940000000001</v>
      </c>
      <c r="J37" s="65">
        <f t="shared" si="0"/>
        <v>-110.05109999999991</v>
      </c>
    </row>
    <row r="38" spans="1:12" x14ac:dyDescent="0.25">
      <c r="A38" t="s">
        <v>441</v>
      </c>
      <c r="D38" s="65">
        <v>1199.72</v>
      </c>
      <c r="F38" s="65">
        <f>ROUND(D38*(1+'Sch 1'!$C$36),4)</f>
        <v>1912.4101000000001</v>
      </c>
      <c r="H38" s="65">
        <f>ROUND(D38*(1+'Sch 1'!$E$36),4)</f>
        <v>1715.8923</v>
      </c>
      <c r="J38" s="65">
        <f t="shared" si="0"/>
        <v>-196.51780000000008</v>
      </c>
    </row>
    <row r="39" spans="1:12" x14ac:dyDescent="0.25">
      <c r="A39" t="s">
        <v>442</v>
      </c>
      <c r="D39" s="65">
        <v>1866.23</v>
      </c>
      <c r="F39" s="65">
        <f>ROUND(D39*(1+'Sch 1'!$C$36),4)</f>
        <v>2974.8582999999999</v>
      </c>
      <c r="H39" s="65">
        <f>ROUND(D39*(1+'Sch 1'!$E$36),4)</f>
        <v>2669.1642999999999</v>
      </c>
      <c r="J39" s="65">
        <f t="shared" si="0"/>
        <v>-305.69399999999996</v>
      </c>
    </row>
    <row r="40" spans="1:12" x14ac:dyDescent="0.25">
      <c r="A40" t="s">
        <v>443</v>
      </c>
      <c r="D40" s="65">
        <v>2687.36</v>
      </c>
      <c r="F40" s="65">
        <f>ROUND(D40*(1+'Sch 1'!$C$36),4)</f>
        <v>4283.7781000000004</v>
      </c>
      <c r="H40" s="65">
        <f>ROUND(D40*(1+'Sch 1'!$E$36),4)</f>
        <v>3843.5805</v>
      </c>
      <c r="J40" s="65">
        <f t="shared" si="0"/>
        <v>-440.19760000000042</v>
      </c>
    </row>
  </sheetData>
  <mergeCells count="3">
    <mergeCell ref="A4:J4"/>
    <mergeCell ref="A5:J5"/>
    <mergeCell ref="A7:J7"/>
  </mergeCells>
  <phoneticPr fontId="7" type="noConversion"/>
  <pageMargins left="0.75" right="0.75" top="1" bottom="1" header="0.5" footer="0.5"/>
  <pageSetup orientation="portrait" horizontalDpi="90" verticalDpi="9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50271-877F-4E2F-BB4D-BC53949B23C4}">
  <sheetPr>
    <tabColor rgb="FF0070C0"/>
  </sheetPr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40969-09E3-4390-BB2A-6F93394EF15E}">
  <sheetPr>
    <tabColor indexed="34"/>
  </sheetPr>
  <dimension ref="A1:H37"/>
  <sheetViews>
    <sheetView view="pageBreakPreview" zoomScaleNormal="100" zoomScaleSheetLayoutView="100" workbookViewId="0"/>
  </sheetViews>
  <sheetFormatPr defaultColWidth="9" defaultRowHeight="15.75" x14ac:dyDescent="0.25"/>
  <cols>
    <col min="1" max="1" width="5.375" style="47" customWidth="1"/>
    <col min="2" max="2" width="36" style="47" customWidth="1"/>
    <col min="3" max="3" width="12.625" style="47" customWidth="1"/>
    <col min="4" max="4" width="1.5" style="47" customWidth="1"/>
    <col min="5" max="5" width="12.625" style="47" customWidth="1"/>
    <col min="6" max="6" width="1.625" style="47" customWidth="1"/>
    <col min="7" max="7" width="12.625" style="47" customWidth="1"/>
    <col min="8" max="16384" width="9" style="47"/>
  </cols>
  <sheetData>
    <row r="1" spans="1:8" x14ac:dyDescent="0.25">
      <c r="A1" s="2"/>
      <c r="B1" s="2"/>
      <c r="C1" s="2"/>
      <c r="D1" s="2"/>
      <c r="E1" s="2"/>
      <c r="F1" s="2"/>
      <c r="G1" s="25" t="s">
        <v>27</v>
      </c>
      <c r="H1" s="2"/>
    </row>
    <row r="2" spans="1:8" x14ac:dyDescent="0.25">
      <c r="A2" s="2"/>
      <c r="B2" s="2"/>
      <c r="C2" s="2"/>
      <c r="D2" s="2"/>
      <c r="E2" s="2"/>
      <c r="F2" s="2"/>
      <c r="G2" s="16" t="s">
        <v>444</v>
      </c>
      <c r="H2" s="2"/>
    </row>
    <row r="3" spans="1:8" x14ac:dyDescent="0.25">
      <c r="A3" s="2"/>
      <c r="B3" s="2"/>
      <c r="C3" s="2"/>
      <c r="D3" s="2"/>
      <c r="E3" s="2"/>
      <c r="F3" s="2"/>
      <c r="G3" s="25" t="s">
        <v>196</v>
      </c>
      <c r="H3" s="2"/>
    </row>
    <row r="4" spans="1:8" s="3" customFormat="1" ht="20.25" x14ac:dyDescent="0.3">
      <c r="A4" s="221" t="str">
        <f>Inputs!C5</f>
        <v>Eastern Heights Utilities, Inc.</v>
      </c>
      <c r="B4" s="221"/>
      <c r="C4" s="221"/>
      <c r="D4" s="221"/>
      <c r="E4" s="221"/>
      <c r="F4" s="221"/>
      <c r="G4" s="221"/>
    </row>
    <row r="5" spans="1:8" s="4" customFormat="1" ht="18.75" x14ac:dyDescent="0.3">
      <c r="A5" s="217" t="str">
        <f>"CAUSE NUMBER "&amp;Inputs!$C$6</f>
        <v>CAUSE NUMBER 46084-U</v>
      </c>
      <c r="B5" s="217"/>
      <c r="C5" s="217"/>
      <c r="D5" s="217"/>
      <c r="E5" s="217"/>
      <c r="F5" s="217"/>
      <c r="G5" s="217"/>
    </row>
    <row r="7" spans="1:8" x14ac:dyDescent="0.25">
      <c r="A7" s="218" t="s">
        <v>445</v>
      </c>
      <c r="B7" s="218"/>
      <c r="C7" s="218"/>
      <c r="D7" s="218"/>
      <c r="E7" s="218"/>
      <c r="F7" s="218"/>
      <c r="G7" s="218"/>
      <c r="H7" s="2"/>
    </row>
    <row r="8" spans="1:8" x14ac:dyDescent="0.25">
      <c r="A8" s="218"/>
      <c r="B8" s="218"/>
      <c r="C8" s="218"/>
      <c r="D8" s="218"/>
      <c r="E8" s="218"/>
      <c r="F8" s="218"/>
      <c r="G8" s="218"/>
      <c r="H8" s="2"/>
    </row>
    <row r="10" spans="1:8" x14ac:dyDescent="0.25">
      <c r="A10" s="2"/>
      <c r="B10" s="2"/>
      <c r="C10" s="201" t="s">
        <v>446</v>
      </c>
      <c r="D10" s="201"/>
      <c r="E10" s="201" t="s">
        <v>447</v>
      </c>
      <c r="F10" s="2"/>
      <c r="G10" s="201" t="str">
        <f>E11</f>
        <v>46084-U</v>
      </c>
      <c r="H10" s="2"/>
    </row>
    <row r="11" spans="1:8" x14ac:dyDescent="0.25">
      <c r="A11" s="2"/>
      <c r="B11" s="2"/>
      <c r="C11" s="82" t="s">
        <v>448</v>
      </c>
      <c r="D11" s="201"/>
      <c r="E11" s="82" t="str">
        <f>Inputs!C6</f>
        <v>46084-U</v>
      </c>
      <c r="F11" s="2"/>
      <c r="G11" s="82" t="s">
        <v>36</v>
      </c>
      <c r="H11" s="1"/>
    </row>
    <row r="12" spans="1:8" ht="8.25" customHeight="1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A13" s="2" t="s">
        <v>37</v>
      </c>
      <c r="B13" s="2"/>
      <c r="C13" s="209">
        <v>1889345</v>
      </c>
      <c r="D13" s="209"/>
      <c r="E13" s="209">
        <f>'Sch 1'!C13+'Sch 1'!C14</f>
        <v>2839583</v>
      </c>
      <c r="F13" s="209"/>
      <c r="G13" s="209">
        <f t="shared" ref="G13:G18" si="0">+E13-C13</f>
        <v>950238</v>
      </c>
      <c r="H13" s="125"/>
    </row>
    <row r="14" spans="1:8" x14ac:dyDescent="0.25">
      <c r="A14" s="2" t="s">
        <v>449</v>
      </c>
      <c r="B14" s="2"/>
      <c r="C14" s="209"/>
      <c r="D14" s="210"/>
      <c r="E14" s="210"/>
      <c r="F14" s="210"/>
      <c r="G14" s="210">
        <f t="shared" si="0"/>
        <v>0</v>
      </c>
      <c r="H14" s="125"/>
    </row>
    <row r="15" spans="1:8" x14ac:dyDescent="0.25">
      <c r="A15" t="s">
        <v>39</v>
      </c>
      <c r="B15" s="2"/>
      <c r="C15" s="210">
        <v>424751</v>
      </c>
      <c r="D15" s="210"/>
      <c r="E15" s="210">
        <f>'Sch 1'!C15</f>
        <v>792483</v>
      </c>
      <c r="F15" s="210"/>
      <c r="G15" s="210">
        <f t="shared" si="0"/>
        <v>367732</v>
      </c>
      <c r="H15" s="125"/>
    </row>
    <row r="16" spans="1:8" x14ac:dyDescent="0.25">
      <c r="A16" s="2" t="s">
        <v>40</v>
      </c>
      <c r="B16" s="2"/>
      <c r="C16" s="210"/>
      <c r="D16" s="210"/>
      <c r="E16" s="210">
        <f>+'Sch 1'!C16</f>
        <v>107079</v>
      </c>
      <c r="F16" s="210"/>
      <c r="G16" s="210">
        <f t="shared" si="0"/>
        <v>107079</v>
      </c>
      <c r="H16" s="125"/>
    </row>
    <row r="17" spans="1:8" x14ac:dyDescent="0.25">
      <c r="A17" s="2" t="s">
        <v>41</v>
      </c>
      <c r="B17" s="2"/>
      <c r="C17" s="210">
        <v>326301</v>
      </c>
      <c r="D17" s="210"/>
      <c r="E17" s="210">
        <f>'Sch 1'!C17</f>
        <v>515141</v>
      </c>
      <c r="F17" s="210"/>
      <c r="G17" s="210">
        <f t="shared" si="0"/>
        <v>188840</v>
      </c>
      <c r="H17" s="125"/>
    </row>
    <row r="18" spans="1:8" x14ac:dyDescent="0.25">
      <c r="A18" s="2" t="s">
        <v>42</v>
      </c>
      <c r="B18" s="2"/>
      <c r="C18" s="210"/>
      <c r="D18" s="210"/>
      <c r="E18" s="210">
        <f>'Sch 1'!C18</f>
        <v>63403</v>
      </c>
      <c r="F18" s="210"/>
      <c r="G18" s="210">
        <f t="shared" si="0"/>
        <v>63403</v>
      </c>
      <c r="H18" s="125"/>
    </row>
    <row r="19" spans="1:8" ht="6" customHeight="1" x14ac:dyDescent="0.25">
      <c r="A19" s="2"/>
      <c r="B19" s="2"/>
      <c r="C19" s="211"/>
      <c r="D19" s="210"/>
      <c r="E19" s="211"/>
      <c r="F19" s="210"/>
      <c r="G19" s="211"/>
      <c r="H19" s="2"/>
    </row>
    <row r="20" spans="1:8" x14ac:dyDescent="0.25">
      <c r="A20" s="2" t="s">
        <v>43</v>
      </c>
      <c r="B20" s="2"/>
      <c r="C20" s="210">
        <f>SUM(C13:C18)</f>
        <v>2640397</v>
      </c>
      <c r="D20" s="210"/>
      <c r="E20" s="210">
        <f>SUM(E13:E18)</f>
        <v>4317689</v>
      </c>
      <c r="F20" s="210"/>
      <c r="G20" s="210">
        <f>SUM(G13:G18)</f>
        <v>1677292</v>
      </c>
      <c r="H20" s="2"/>
    </row>
    <row r="21" spans="1:8" x14ac:dyDescent="0.25">
      <c r="A21" t="s">
        <v>450</v>
      </c>
      <c r="B21" s="2"/>
      <c r="C21" s="210"/>
      <c r="D21" s="210"/>
      <c r="E21" s="210"/>
      <c r="F21" s="210"/>
      <c r="G21" s="210"/>
      <c r="H21" s="2"/>
    </row>
    <row r="22" spans="1:8" x14ac:dyDescent="0.25">
      <c r="A22" s="2"/>
      <c r="B22" s="2" t="s">
        <v>45</v>
      </c>
      <c r="C22" s="210">
        <v>-14660</v>
      </c>
      <c r="D22" s="210"/>
      <c r="E22" s="210">
        <f>'Sch 1'!C21</f>
        <v>-26626</v>
      </c>
      <c r="F22" s="210"/>
      <c r="G22" s="210">
        <f>+E22-C22</f>
        <v>-11966</v>
      </c>
      <c r="H22" s="2"/>
    </row>
    <row r="23" spans="1:8" x14ac:dyDescent="0.25">
      <c r="A23" s="2"/>
      <c r="B23" s="2" t="s">
        <v>451</v>
      </c>
      <c r="C23" s="210">
        <v>-7900</v>
      </c>
      <c r="D23" s="210"/>
      <c r="E23" s="210">
        <f>'Sch 1'!C22</f>
        <v>0</v>
      </c>
      <c r="F23" s="210"/>
      <c r="G23" s="210">
        <f>+E23-C23</f>
        <v>7900</v>
      </c>
      <c r="H23" s="2"/>
    </row>
    <row r="24" spans="1:8" x14ac:dyDescent="0.25">
      <c r="A24" s="2"/>
      <c r="B24" s="2" t="s">
        <v>452</v>
      </c>
      <c r="C24" s="210">
        <v>-19756</v>
      </c>
      <c r="D24" s="210"/>
      <c r="E24" s="210">
        <f>'Sch 1'!C23</f>
        <v>0</v>
      </c>
      <c r="F24" s="210"/>
      <c r="G24" s="210"/>
      <c r="H24" s="2"/>
    </row>
    <row r="25" spans="1:8" ht="6" customHeight="1" x14ac:dyDescent="0.25">
      <c r="A25" s="2"/>
      <c r="B25" s="2"/>
      <c r="C25" s="211"/>
      <c r="D25" s="210"/>
      <c r="E25" s="211"/>
      <c r="F25" s="210"/>
      <c r="G25" s="211"/>
      <c r="H25" s="2"/>
    </row>
    <row r="26" spans="1:8" ht="16.5" thickBot="1" x14ac:dyDescent="0.3">
      <c r="A26" t="s">
        <v>453</v>
      </c>
      <c r="B26" s="2"/>
      <c r="C26" s="212">
        <f>SUM(C20:C24)</f>
        <v>2598081</v>
      </c>
      <c r="D26" s="210"/>
      <c r="E26" s="213">
        <f>SUM(E20:E24)</f>
        <v>4291063</v>
      </c>
      <c r="F26" s="210"/>
      <c r="G26" s="213">
        <f>SUM(G20:G24)</f>
        <v>1673226</v>
      </c>
      <c r="H26" s="2"/>
    </row>
    <row r="27" spans="1:8" ht="16.5" thickTop="1" x14ac:dyDescent="0.25">
      <c r="A27"/>
      <c r="B27" s="2"/>
      <c r="C27" s="214"/>
      <c r="D27" s="210"/>
      <c r="E27" s="215"/>
      <c r="F27" s="210"/>
      <c r="G27" s="215"/>
      <c r="H27" s="2"/>
    </row>
    <row r="28" spans="1:8" x14ac:dyDescent="0.25">
      <c r="A28" s="2"/>
      <c r="B28" s="2"/>
      <c r="C28" s="216"/>
      <c r="D28" s="210"/>
      <c r="E28" s="210"/>
      <c r="F28" s="210"/>
      <c r="G28" s="216"/>
      <c r="H28" s="2"/>
    </row>
    <row r="29" spans="1:8" x14ac:dyDescent="0.25">
      <c r="A29" s="2"/>
      <c r="B29" s="2"/>
      <c r="C29" s="216"/>
      <c r="D29" s="210"/>
      <c r="E29" s="216"/>
      <c r="F29" s="210"/>
      <c r="G29" s="216"/>
      <c r="H29" s="2"/>
    </row>
    <row r="30" spans="1:8" x14ac:dyDescent="0.25">
      <c r="A30" s="2"/>
      <c r="B30" s="2"/>
      <c r="C30" s="216"/>
      <c r="D30" s="216"/>
      <c r="E30" s="216"/>
      <c r="F30" s="210"/>
      <c r="G30" s="216"/>
      <c r="H30" s="2"/>
    </row>
    <row r="31" spans="1:8" x14ac:dyDescent="0.25">
      <c r="A31" s="2"/>
      <c r="B31" s="2"/>
      <c r="C31" s="216"/>
      <c r="D31" s="216"/>
      <c r="E31" s="216"/>
      <c r="F31" s="210"/>
      <c r="G31" s="216"/>
      <c r="H31" s="2"/>
    </row>
    <row r="32" spans="1:8" x14ac:dyDescent="0.25">
      <c r="A32"/>
      <c r="B32" s="2"/>
      <c r="C32" s="216"/>
      <c r="D32" s="216"/>
      <c r="E32" s="216"/>
      <c r="F32" s="210"/>
      <c r="G32" s="216"/>
      <c r="H32" s="2"/>
    </row>
    <row r="33" spans="1:7" x14ac:dyDescent="0.25">
      <c r="A33"/>
      <c r="B33" s="2"/>
      <c r="C33" s="216"/>
      <c r="D33" s="216"/>
      <c r="E33" s="108"/>
      <c r="F33" s="210"/>
      <c r="G33" s="216"/>
    </row>
    <row r="34" spans="1:7" x14ac:dyDescent="0.25">
      <c r="A34" s="2"/>
      <c r="B34"/>
      <c r="C34" s="216"/>
      <c r="D34" s="216"/>
      <c r="E34" s="216"/>
      <c r="F34" s="210"/>
      <c r="G34" s="216"/>
    </row>
    <row r="35" spans="1:7" x14ac:dyDescent="0.25">
      <c r="A35" s="2"/>
      <c r="B35" s="2"/>
      <c r="C35" s="7"/>
      <c r="D35" s="2"/>
      <c r="E35" s="216"/>
      <c r="F35" s="2"/>
      <c r="G35" s="7"/>
    </row>
    <row r="36" spans="1:7" x14ac:dyDescent="0.25">
      <c r="A36" s="2"/>
      <c r="B36" s="2"/>
      <c r="C36" s="2"/>
      <c r="D36" s="2"/>
      <c r="E36" s="216"/>
      <c r="F36" s="2"/>
      <c r="G36" s="2"/>
    </row>
    <row r="37" spans="1:7" x14ac:dyDescent="0.25">
      <c r="A37" s="2"/>
      <c r="B37" s="2"/>
      <c r="C37" s="2"/>
      <c r="D37" s="2"/>
      <c r="E37" s="215"/>
      <c r="F37" s="2"/>
      <c r="G37" s="2"/>
    </row>
  </sheetData>
  <mergeCells count="4">
    <mergeCell ref="A4:G4"/>
    <mergeCell ref="A5:G5"/>
    <mergeCell ref="A7:G7"/>
    <mergeCell ref="A8:G8"/>
  </mergeCells>
  <printOptions horizontalCentered="1"/>
  <pageMargins left="0.5" right="0.5" top="0.5" bottom="0.75" header="0.5" footer="0.5"/>
  <pageSetup scale="98" fitToHeight="2" orientation="portrait" verticalDpi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33"/>
  </sheetPr>
  <dimension ref="A1:O60"/>
  <sheetViews>
    <sheetView zoomScaleNormal="100" workbookViewId="0"/>
  </sheetViews>
  <sheetFormatPr defaultRowHeight="15.75" x14ac:dyDescent="0.25"/>
  <cols>
    <col min="1" max="1" width="25.375" customWidth="1"/>
    <col min="2" max="2" width="1.25" customWidth="1"/>
    <col min="3" max="3" width="19.5" customWidth="1"/>
    <col min="4" max="4" width="1.625" customWidth="1"/>
    <col min="5" max="5" width="17.25" customWidth="1"/>
    <col min="6" max="6" width="1.625" customWidth="1"/>
    <col min="7" max="7" width="13" customWidth="1"/>
    <col min="8" max="8" width="1.375" customWidth="1"/>
    <col min="9" max="9" width="12" customWidth="1"/>
  </cols>
  <sheetData>
    <row r="1" spans="1:14" ht="20.25" x14ac:dyDescent="0.3">
      <c r="A1" s="8" t="s">
        <v>2</v>
      </c>
    </row>
    <row r="2" spans="1:14" ht="18.75" x14ac:dyDescent="0.3">
      <c r="A2" s="9" t="s">
        <v>3</v>
      </c>
      <c r="E2" s="19" t="s">
        <v>4</v>
      </c>
    </row>
    <row r="3" spans="1:14" ht="18.75" x14ac:dyDescent="0.3">
      <c r="A3" s="9"/>
      <c r="E3" s="20" t="s">
        <v>5</v>
      </c>
    </row>
    <row r="4" spans="1:14" ht="18.75" x14ac:dyDescent="0.3">
      <c r="A4" s="9"/>
    </row>
    <row r="5" spans="1:14" x14ac:dyDescent="0.25">
      <c r="A5" s="6" t="s">
        <v>6</v>
      </c>
      <c r="C5" s="43" t="s">
        <v>7</v>
      </c>
    </row>
    <row r="6" spans="1:14" x14ac:dyDescent="0.25">
      <c r="A6" s="6" t="s">
        <v>8</v>
      </c>
      <c r="C6" s="43" t="s">
        <v>9</v>
      </c>
    </row>
    <row r="7" spans="1:14" x14ac:dyDescent="0.25">
      <c r="A7" s="6"/>
    </row>
    <row r="8" spans="1:14" x14ac:dyDescent="0.25">
      <c r="A8" s="6" t="s">
        <v>10</v>
      </c>
      <c r="C8" s="71" t="s">
        <v>11</v>
      </c>
      <c r="E8" s="19">
        <v>2023</v>
      </c>
      <c r="G8" s="201"/>
      <c r="H8" s="201"/>
      <c r="I8" s="201"/>
    </row>
    <row r="9" spans="1:14" x14ac:dyDescent="0.25">
      <c r="A9" s="6"/>
      <c r="C9" s="44">
        <v>45291</v>
      </c>
      <c r="G9" s="201"/>
      <c r="H9" s="201"/>
      <c r="I9" s="201"/>
    </row>
    <row r="10" spans="1:14" s="27" customFormat="1" x14ac:dyDescent="0.25">
      <c r="A10" s="26" t="s">
        <v>12</v>
      </c>
      <c r="C10" s="28">
        <v>1.5E-3</v>
      </c>
      <c r="E10" s="26" t="s">
        <v>13</v>
      </c>
      <c r="G10" s="26" t="s">
        <v>14</v>
      </c>
      <c r="H10" s="29"/>
      <c r="I10" s="29"/>
    </row>
    <row r="11" spans="1:14" x14ac:dyDescent="0.25">
      <c r="A11" s="6"/>
      <c r="C11" s="31"/>
    </row>
    <row r="12" spans="1:14" x14ac:dyDescent="0.25">
      <c r="A12" s="6" t="s">
        <v>15</v>
      </c>
      <c r="C12" s="49" t="s">
        <v>16</v>
      </c>
    </row>
    <row r="13" spans="1:14" x14ac:dyDescent="0.25">
      <c r="A13" s="6"/>
      <c r="C13" s="206"/>
    </row>
    <row r="14" spans="1:14" x14ac:dyDescent="0.25">
      <c r="A14" s="6" t="s">
        <v>17</v>
      </c>
      <c r="C14" s="49"/>
      <c r="N14" s="66" t="s">
        <v>18</v>
      </c>
    </row>
    <row r="15" spans="1:14" x14ac:dyDescent="0.25">
      <c r="A15" s="6"/>
      <c r="G15" t="s">
        <v>19</v>
      </c>
      <c r="L15" s="2" t="s">
        <v>20</v>
      </c>
      <c r="N15" s="2" t="s">
        <v>21</v>
      </c>
    </row>
    <row r="16" spans="1:14" x14ac:dyDescent="0.25">
      <c r="A16" s="6" t="s">
        <v>22</v>
      </c>
      <c r="C16" s="19">
        <v>1</v>
      </c>
      <c r="E16" s="32">
        <f>L18</f>
        <v>23.34</v>
      </c>
      <c r="G16">
        <v>1</v>
      </c>
      <c r="I16" t="s">
        <v>21</v>
      </c>
      <c r="L16">
        <f>3*6.34</f>
        <v>19.02</v>
      </c>
      <c r="N16">
        <f>3*6.34</f>
        <v>19.02</v>
      </c>
    </row>
    <row r="17" spans="1:15" x14ac:dyDescent="0.25">
      <c r="A17" s="6" t="s">
        <v>23</v>
      </c>
      <c r="E17" s="32"/>
      <c r="G17">
        <v>2</v>
      </c>
      <c r="I17" t="s">
        <v>24</v>
      </c>
      <c r="L17">
        <f>1*4.32</f>
        <v>4.32</v>
      </c>
      <c r="N17">
        <f>1*4.32</f>
        <v>4.32</v>
      </c>
    </row>
    <row r="18" spans="1:15" x14ac:dyDescent="0.25">
      <c r="A18" s="6"/>
      <c r="L18">
        <f>SUM(L16:L17)</f>
        <v>23.34</v>
      </c>
      <c r="N18">
        <f>SUM(N16:N17)</f>
        <v>23.34</v>
      </c>
      <c r="O18">
        <f>N18*1.594</f>
        <v>37.203960000000002</v>
      </c>
    </row>
    <row r="19" spans="1:15" x14ac:dyDescent="0.25">
      <c r="A19" s="6" t="s">
        <v>25</v>
      </c>
      <c r="C19" s="21">
        <f>'Sch 3 - IS'!E48/'Sch 3 - IS'!E26</f>
        <v>4.872889775983962E-3</v>
      </c>
      <c r="E19" s="6" t="s">
        <v>26</v>
      </c>
    </row>
    <row r="20" spans="1:15" x14ac:dyDescent="0.25">
      <c r="A20" s="6"/>
    </row>
    <row r="21" spans="1:15" x14ac:dyDescent="0.25">
      <c r="A21" s="6"/>
      <c r="L21" s="69"/>
    </row>
    <row r="22" spans="1:15" x14ac:dyDescent="0.25">
      <c r="A22" s="6"/>
    </row>
    <row r="23" spans="1:15" s="23" customFormat="1" ht="8.25" customHeight="1" x14ac:dyDescent="0.25">
      <c r="A23" s="22"/>
    </row>
    <row r="24" spans="1:15" x14ac:dyDescent="0.25">
      <c r="A24" s="6"/>
    </row>
    <row r="25" spans="1:15" x14ac:dyDescent="0.25">
      <c r="A25" s="6"/>
      <c r="C25" s="24"/>
      <c r="D25" s="24"/>
      <c r="E25" s="24"/>
      <c r="F25" s="24"/>
      <c r="G25" s="24"/>
    </row>
    <row r="26" spans="1:15" x14ac:dyDescent="0.25">
      <c r="A26" s="6"/>
      <c r="C26" s="24"/>
      <c r="D26" s="24"/>
      <c r="E26" s="24"/>
      <c r="F26" s="24"/>
      <c r="G26" s="24"/>
    </row>
    <row r="27" spans="1:15" x14ac:dyDescent="0.25">
      <c r="A27" s="6"/>
      <c r="C27" s="24"/>
      <c r="D27" s="24"/>
      <c r="E27" s="24"/>
      <c r="F27" s="24"/>
      <c r="G27" s="24"/>
    </row>
    <row r="28" spans="1:15" x14ac:dyDescent="0.25">
      <c r="A28" s="6"/>
      <c r="C28" s="24"/>
      <c r="D28" s="24"/>
      <c r="E28" s="24"/>
      <c r="F28" s="24"/>
      <c r="G28" s="24"/>
    </row>
    <row r="29" spans="1:15" x14ac:dyDescent="0.25">
      <c r="A29" s="6"/>
      <c r="C29" s="24"/>
      <c r="D29" s="24"/>
      <c r="E29" s="24"/>
      <c r="F29" s="24"/>
      <c r="G29" s="24"/>
    </row>
    <row r="30" spans="1:15" x14ac:dyDescent="0.25">
      <c r="A30" s="6"/>
      <c r="C30" s="24"/>
      <c r="D30" s="24"/>
      <c r="E30" s="24"/>
      <c r="F30" s="24"/>
      <c r="G30" s="24"/>
    </row>
    <row r="31" spans="1:15" x14ac:dyDescent="0.25">
      <c r="A31" s="6"/>
      <c r="C31" s="24"/>
      <c r="D31" s="24"/>
      <c r="E31" s="24"/>
      <c r="F31" s="24"/>
      <c r="G31" s="24"/>
    </row>
    <row r="32" spans="1:15" x14ac:dyDescent="0.25">
      <c r="A32" s="6"/>
      <c r="C32" s="24"/>
      <c r="D32" s="24"/>
      <c r="E32" s="24"/>
      <c r="F32" s="24"/>
      <c r="G32" s="24"/>
    </row>
    <row r="33" spans="1:7" x14ac:dyDescent="0.25">
      <c r="A33" s="6"/>
      <c r="C33" s="24"/>
      <c r="D33" s="24"/>
      <c r="E33" s="24"/>
      <c r="F33" s="24"/>
      <c r="G33" s="24"/>
    </row>
    <row r="34" spans="1:7" x14ac:dyDescent="0.25">
      <c r="A34" s="6"/>
      <c r="C34" s="24"/>
      <c r="D34" s="24"/>
      <c r="E34" s="24"/>
      <c r="F34" s="24"/>
      <c r="G34" s="24"/>
    </row>
    <row r="35" spans="1:7" x14ac:dyDescent="0.25">
      <c r="A35" s="6"/>
      <c r="C35" s="24"/>
      <c r="D35" s="24"/>
      <c r="E35" s="24"/>
      <c r="F35" s="24"/>
      <c r="G35" s="24"/>
    </row>
    <row r="36" spans="1:7" x14ac:dyDescent="0.25">
      <c r="A36" s="6"/>
      <c r="C36" s="24"/>
      <c r="D36" s="24"/>
      <c r="E36" s="24"/>
      <c r="F36" s="24"/>
      <c r="G36" s="24"/>
    </row>
    <row r="37" spans="1:7" x14ac:dyDescent="0.25">
      <c r="A37" s="6"/>
      <c r="C37" s="24"/>
      <c r="D37" s="24"/>
      <c r="E37" s="24"/>
      <c r="F37" s="24"/>
      <c r="G37" s="24"/>
    </row>
    <row r="38" spans="1:7" x14ac:dyDescent="0.25">
      <c r="A38" s="6"/>
      <c r="C38" s="24"/>
      <c r="D38" s="24"/>
      <c r="E38" s="24"/>
      <c r="F38" s="24"/>
      <c r="G38" s="24"/>
    </row>
    <row r="39" spans="1:7" x14ac:dyDescent="0.25">
      <c r="A39" s="6"/>
      <c r="C39" s="24"/>
      <c r="D39" s="24"/>
      <c r="E39" s="24"/>
      <c r="F39" s="24"/>
      <c r="G39" s="24"/>
    </row>
    <row r="40" spans="1:7" x14ac:dyDescent="0.25">
      <c r="A40" s="6"/>
      <c r="C40" s="24"/>
      <c r="D40" s="24"/>
      <c r="E40" s="24"/>
      <c r="F40" s="24"/>
      <c r="G40" s="24"/>
    </row>
    <row r="41" spans="1:7" x14ac:dyDescent="0.25">
      <c r="A41" s="6"/>
      <c r="C41" s="24"/>
      <c r="D41" s="24"/>
      <c r="E41" s="24"/>
      <c r="F41" s="24"/>
      <c r="G41" s="24"/>
    </row>
    <row r="42" spans="1:7" x14ac:dyDescent="0.25">
      <c r="A42" s="6"/>
      <c r="C42" s="24"/>
      <c r="D42" s="24"/>
      <c r="E42" s="24"/>
      <c r="F42" s="24"/>
      <c r="G42" s="24"/>
    </row>
    <row r="43" spans="1:7" x14ac:dyDescent="0.25">
      <c r="A43" s="6"/>
      <c r="C43" s="24"/>
      <c r="D43" s="24"/>
      <c r="E43" s="24"/>
      <c r="F43" s="24"/>
      <c r="G43" s="24"/>
    </row>
    <row r="44" spans="1:7" x14ac:dyDescent="0.25">
      <c r="A44" s="6"/>
      <c r="C44" s="24"/>
      <c r="D44" s="24"/>
      <c r="E44" s="24"/>
      <c r="F44" s="24"/>
      <c r="G44" s="24"/>
    </row>
    <row r="45" spans="1:7" x14ac:dyDescent="0.25">
      <c r="A45" s="6"/>
      <c r="C45" s="24"/>
      <c r="D45" s="24"/>
      <c r="E45" s="24"/>
      <c r="F45" s="24"/>
      <c r="G45" s="24"/>
    </row>
    <row r="46" spans="1:7" x14ac:dyDescent="0.25">
      <c r="A46" s="6"/>
      <c r="C46" s="24"/>
      <c r="D46" s="24"/>
      <c r="E46" s="24"/>
      <c r="F46" s="24"/>
      <c r="G46" s="24"/>
    </row>
    <row r="47" spans="1:7" x14ac:dyDescent="0.25">
      <c r="A47" s="6"/>
      <c r="C47" s="24"/>
      <c r="D47" s="24"/>
      <c r="E47" s="24"/>
      <c r="F47" s="24"/>
      <c r="G47" s="24"/>
    </row>
    <row r="48" spans="1:7" x14ac:dyDescent="0.25">
      <c r="A48" s="6"/>
      <c r="C48" s="24"/>
      <c r="D48" s="24"/>
      <c r="E48" s="24"/>
      <c r="F48" s="24"/>
      <c r="G48" s="24"/>
    </row>
    <row r="49" spans="1:7" x14ac:dyDescent="0.25">
      <c r="A49" s="6"/>
      <c r="C49" s="24"/>
      <c r="D49" s="24"/>
      <c r="E49" s="24"/>
      <c r="F49" s="24"/>
      <c r="G49" s="24"/>
    </row>
    <row r="50" spans="1:7" x14ac:dyDescent="0.25">
      <c r="A50" s="6"/>
      <c r="C50" s="24"/>
      <c r="D50" s="24"/>
      <c r="E50" s="24"/>
      <c r="F50" s="24"/>
      <c r="G50" s="24"/>
    </row>
    <row r="51" spans="1:7" x14ac:dyDescent="0.25">
      <c r="A51" s="6"/>
      <c r="C51" s="24"/>
      <c r="D51" s="24"/>
      <c r="E51" s="24"/>
      <c r="F51" s="24"/>
      <c r="G51" s="24"/>
    </row>
    <row r="52" spans="1:7" x14ac:dyDescent="0.25">
      <c r="C52" s="24"/>
      <c r="D52" s="24"/>
      <c r="E52" s="24"/>
      <c r="F52" s="24"/>
      <c r="G52" s="24"/>
    </row>
    <row r="53" spans="1:7" x14ac:dyDescent="0.25">
      <c r="C53" s="24"/>
      <c r="D53" s="24"/>
      <c r="E53" s="24"/>
      <c r="F53" s="24"/>
      <c r="G53" s="24"/>
    </row>
    <row r="54" spans="1:7" x14ac:dyDescent="0.25">
      <c r="C54" s="24"/>
      <c r="D54" s="24"/>
      <c r="E54" s="24"/>
      <c r="F54" s="24"/>
      <c r="G54" s="24"/>
    </row>
    <row r="55" spans="1:7" x14ac:dyDescent="0.25">
      <c r="C55" s="24"/>
      <c r="D55" s="24"/>
      <c r="E55" s="24"/>
      <c r="F55" s="24"/>
      <c r="G55" s="24"/>
    </row>
    <row r="56" spans="1:7" x14ac:dyDescent="0.25">
      <c r="C56" s="24"/>
      <c r="D56" s="24"/>
      <c r="E56" s="24"/>
      <c r="F56" s="24"/>
      <c r="G56" s="24"/>
    </row>
    <row r="57" spans="1:7" x14ac:dyDescent="0.25">
      <c r="C57" s="24"/>
      <c r="D57" s="24"/>
      <c r="E57" s="24"/>
      <c r="F57" s="24"/>
      <c r="G57" s="24"/>
    </row>
    <row r="58" spans="1:7" x14ac:dyDescent="0.25">
      <c r="C58" s="24"/>
      <c r="D58" s="24"/>
      <c r="E58" s="24"/>
      <c r="F58" s="24"/>
      <c r="G58" s="24"/>
    </row>
    <row r="59" spans="1:7" x14ac:dyDescent="0.25">
      <c r="C59" s="24"/>
      <c r="D59" s="24"/>
      <c r="E59" s="24"/>
      <c r="F59" s="24"/>
      <c r="G59" s="24"/>
    </row>
    <row r="60" spans="1:7" x14ac:dyDescent="0.25">
      <c r="C60" s="24"/>
      <c r="D60" s="24"/>
      <c r="E60" s="24"/>
      <c r="F60" s="24"/>
      <c r="G60" s="24"/>
    </row>
  </sheetData>
  <phoneticPr fontId="7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34"/>
  </sheetPr>
  <dimension ref="A1:O89"/>
  <sheetViews>
    <sheetView view="pageBreakPreview" zoomScaleNormal="100" zoomScaleSheetLayoutView="100" workbookViewId="0"/>
  </sheetViews>
  <sheetFormatPr defaultColWidth="9" defaultRowHeight="15.75" x14ac:dyDescent="0.25"/>
  <cols>
    <col min="1" max="1" width="5.375" style="2" customWidth="1"/>
    <col min="2" max="2" width="36.5" style="2" customWidth="1"/>
    <col min="3" max="3" width="12.625" style="2" customWidth="1"/>
    <col min="4" max="4" width="1.5" style="2" customWidth="1"/>
    <col min="5" max="5" width="12.625" style="2" customWidth="1"/>
    <col min="6" max="6" width="1.625" style="2" customWidth="1"/>
    <col min="7" max="7" width="6.625" style="1" customWidth="1"/>
    <col min="8" max="8" width="1.625" style="2" customWidth="1"/>
    <col min="9" max="9" width="11.875" style="2" customWidth="1"/>
    <col min="10" max="10" width="9" style="2"/>
    <col min="11" max="11" width="11.75" style="2" bestFit="1" customWidth="1"/>
    <col min="12" max="12" width="10.875" style="2" bestFit="1" customWidth="1"/>
    <col min="13" max="14" width="10.125" style="2" bestFit="1" customWidth="1"/>
    <col min="15" max="15" width="12.625" style="2" bestFit="1" customWidth="1"/>
    <col min="16" max="16384" width="9" style="2"/>
  </cols>
  <sheetData>
    <row r="1" spans="1:11" x14ac:dyDescent="0.25">
      <c r="I1" s="16" t="s">
        <v>27</v>
      </c>
    </row>
    <row r="2" spans="1:11" x14ac:dyDescent="0.25">
      <c r="I2" s="16" t="s">
        <v>28</v>
      </c>
    </row>
    <row r="3" spans="1:11" x14ac:dyDescent="0.25">
      <c r="I3" s="16" t="s">
        <v>29</v>
      </c>
    </row>
    <row r="4" spans="1:11" s="3" customFormat="1" ht="20.25" x14ac:dyDescent="0.3">
      <c r="A4" s="221" t="str">
        <f>+Inputs!$C$5</f>
        <v>Eastern Heights Utilities, Inc.</v>
      </c>
      <c r="B4" s="221"/>
      <c r="C4" s="221"/>
      <c r="D4" s="221"/>
      <c r="E4" s="221"/>
      <c r="F4" s="221"/>
      <c r="G4" s="221"/>
      <c r="H4" s="221"/>
      <c r="I4" s="221"/>
    </row>
    <row r="5" spans="1:11" s="4" customFormat="1" ht="18.75" x14ac:dyDescent="0.3">
      <c r="A5" s="217" t="str">
        <f>"CAUSE NUMBER "&amp;Inputs!$C$6</f>
        <v>CAUSE NUMBER 46084-U</v>
      </c>
      <c r="B5" s="217"/>
      <c r="C5" s="217"/>
      <c r="D5" s="217"/>
      <c r="E5" s="217"/>
      <c r="F5" s="217"/>
      <c r="G5" s="217"/>
      <c r="H5" s="217"/>
      <c r="I5" s="217"/>
    </row>
    <row r="7" spans="1:11" x14ac:dyDescent="0.25">
      <c r="A7" s="218" t="s">
        <v>30</v>
      </c>
      <c r="B7" s="218"/>
      <c r="C7" s="218"/>
      <c r="D7" s="218"/>
      <c r="E7" s="218"/>
      <c r="F7" s="218"/>
      <c r="G7" s="218"/>
      <c r="H7" s="218"/>
      <c r="I7" s="218"/>
    </row>
    <row r="8" spans="1:11" x14ac:dyDescent="0.25">
      <c r="A8" s="218" t="s">
        <v>31</v>
      </c>
      <c r="B8" s="218"/>
      <c r="C8" s="218"/>
      <c r="D8" s="218"/>
      <c r="E8" s="218"/>
      <c r="F8" s="218"/>
      <c r="G8" s="218"/>
      <c r="H8" s="218"/>
      <c r="I8" s="218"/>
    </row>
    <row r="10" spans="1:11" x14ac:dyDescent="0.25">
      <c r="C10" s="201" t="s">
        <v>32</v>
      </c>
      <c r="D10" s="201"/>
      <c r="E10" s="201" t="s">
        <v>32</v>
      </c>
      <c r="G10" s="201" t="s">
        <v>33</v>
      </c>
      <c r="I10" s="201" t="s">
        <v>27</v>
      </c>
    </row>
    <row r="11" spans="1:11" x14ac:dyDescent="0.25">
      <c r="C11" s="82" t="s">
        <v>34</v>
      </c>
      <c r="D11" s="201"/>
      <c r="E11" s="82" t="s">
        <v>27</v>
      </c>
      <c r="G11" s="82" t="s">
        <v>35</v>
      </c>
      <c r="I11" s="82" t="s">
        <v>36</v>
      </c>
    </row>
    <row r="12" spans="1:11" ht="8.25" customHeight="1" x14ac:dyDescent="0.25"/>
    <row r="13" spans="1:11" x14ac:dyDescent="0.25">
      <c r="A13" s="2" t="s">
        <v>37</v>
      </c>
      <c r="C13" s="35">
        <f>2839583-64326</f>
        <v>2775257</v>
      </c>
      <c r="D13" s="35"/>
      <c r="E13" s="35">
        <f>ROUND(SUM('Sch 4'!K30:K58,'Sch 4'!K61),0)</f>
        <v>2671167</v>
      </c>
      <c r="F13" s="35"/>
      <c r="G13" s="83">
        <v>4</v>
      </c>
      <c r="H13" s="35"/>
      <c r="I13" s="35">
        <f t="shared" ref="I13:I18" si="0">+E13-C13</f>
        <v>-104090</v>
      </c>
      <c r="K13" s="55"/>
    </row>
    <row r="14" spans="1:11" x14ac:dyDescent="0.25">
      <c r="A14" s="2" t="s">
        <v>38</v>
      </c>
      <c r="C14" s="36">
        <v>64326</v>
      </c>
      <c r="D14" s="36"/>
      <c r="E14" s="36">
        <f>'Sch 4'!K63</f>
        <v>56585</v>
      </c>
      <c r="F14" s="36"/>
      <c r="G14" s="84">
        <v>4</v>
      </c>
      <c r="H14" s="36"/>
      <c r="I14" s="36">
        <f t="shared" si="0"/>
        <v>-7741</v>
      </c>
    </row>
    <row r="15" spans="1:11" x14ac:dyDescent="0.25">
      <c r="A15" s="2" t="s">
        <v>39</v>
      </c>
      <c r="C15" s="36">
        <v>792483</v>
      </c>
      <c r="D15" s="36"/>
      <c r="E15" s="36">
        <f>ROUND(+'Sch 7 - E&amp;R'!J31,0)</f>
        <v>697250</v>
      </c>
      <c r="F15" s="36"/>
      <c r="G15" s="84">
        <v>7</v>
      </c>
      <c r="H15" s="36"/>
      <c r="I15" s="36">
        <f t="shared" si="0"/>
        <v>-95233</v>
      </c>
      <c r="J15" s="52"/>
    </row>
    <row r="16" spans="1:11" x14ac:dyDescent="0.25">
      <c r="A16" s="2" t="s">
        <v>40</v>
      </c>
      <c r="C16" s="36">
        <v>107079</v>
      </c>
      <c r="D16" s="36"/>
      <c r="E16" s="36">
        <f>ROUND(+'Sch 8 - Working Captial'!H22,0)</f>
        <v>0</v>
      </c>
      <c r="F16" s="36"/>
      <c r="G16" s="84">
        <v>8</v>
      </c>
      <c r="H16" s="36"/>
      <c r="I16" s="36">
        <f t="shared" si="0"/>
        <v>-107079</v>
      </c>
    </row>
    <row r="17" spans="1:15" x14ac:dyDescent="0.25">
      <c r="A17" s="2" t="s">
        <v>41</v>
      </c>
      <c r="C17" s="36">
        <v>515141</v>
      </c>
      <c r="D17" s="36"/>
      <c r="E17" s="36">
        <f>+'Sch 9 - Debt Service'!I17</f>
        <v>515541.36</v>
      </c>
      <c r="F17" s="36"/>
      <c r="G17" s="84">
        <v>9</v>
      </c>
      <c r="H17" s="36"/>
      <c r="I17" s="36">
        <f t="shared" si="0"/>
        <v>400.35999999998603</v>
      </c>
    </row>
    <row r="18" spans="1:15" x14ac:dyDescent="0.25">
      <c r="A18" s="2" t="s">
        <v>42</v>
      </c>
      <c r="C18" s="36">
        <v>63403</v>
      </c>
      <c r="D18" s="36"/>
      <c r="E18" s="36">
        <v>0</v>
      </c>
      <c r="F18" s="36"/>
      <c r="G18" s="84">
        <v>10</v>
      </c>
      <c r="H18" s="36"/>
      <c r="I18" s="36">
        <f t="shared" si="0"/>
        <v>-63403</v>
      </c>
    </row>
    <row r="19" spans="1:15" ht="6" customHeight="1" x14ac:dyDescent="0.25">
      <c r="C19" s="37"/>
      <c r="D19" s="36"/>
      <c r="E19" s="37"/>
      <c r="F19" s="36"/>
      <c r="G19" s="84"/>
      <c r="H19" s="36"/>
      <c r="I19" s="37"/>
    </row>
    <row r="20" spans="1:15" x14ac:dyDescent="0.25">
      <c r="A20" s="2" t="s">
        <v>43</v>
      </c>
      <c r="C20" s="36">
        <f>SUM(C13:C18)</f>
        <v>4317689</v>
      </c>
      <c r="D20" s="36"/>
      <c r="E20" s="36">
        <f>SUM(E13:E18)</f>
        <v>3940543.36</v>
      </c>
      <c r="F20" s="36"/>
      <c r="G20" s="84"/>
      <c r="H20" s="36"/>
      <c r="I20" s="36">
        <f>SUM(I13:I18)</f>
        <v>-377145.64</v>
      </c>
    </row>
    <row r="21" spans="1:15" x14ac:dyDescent="0.25">
      <c r="A21" s="2" t="s">
        <v>44</v>
      </c>
      <c r="B21" s="2" t="s">
        <v>45</v>
      </c>
      <c r="C21" s="36">
        <v>-26626</v>
      </c>
      <c r="D21" s="36"/>
      <c r="E21" s="36">
        <f>-ROUND(+'Sch 3 - IS'!E74,0)</f>
        <v>-26626</v>
      </c>
      <c r="F21" s="36"/>
      <c r="G21" s="84">
        <v>3</v>
      </c>
      <c r="H21" s="36"/>
      <c r="I21" s="36">
        <f>+E21-C21</f>
        <v>0</v>
      </c>
      <c r="J21" s="53"/>
    </row>
    <row r="22" spans="1:15" hidden="1" x14ac:dyDescent="0.25">
      <c r="B22" s="2" t="s">
        <v>46</v>
      </c>
      <c r="C22" s="36"/>
      <c r="D22" s="36"/>
      <c r="E22" s="36">
        <f>-'Sch 3 - IS'!E77</f>
        <v>0</v>
      </c>
      <c r="F22" s="36"/>
      <c r="G22" s="84">
        <v>3</v>
      </c>
      <c r="H22" s="36"/>
      <c r="I22" s="36">
        <f>+E22-C22</f>
        <v>0</v>
      </c>
    </row>
    <row r="23" spans="1:15" x14ac:dyDescent="0.25">
      <c r="B23" s="2" t="s">
        <v>47</v>
      </c>
      <c r="C23" s="36">
        <v>0</v>
      </c>
      <c r="D23" s="36"/>
      <c r="E23" s="36">
        <f>-'Sch 3 - IS'!E75</f>
        <v>-7023</v>
      </c>
      <c r="F23" s="36"/>
      <c r="G23" s="84">
        <v>3</v>
      </c>
      <c r="H23" s="36"/>
      <c r="I23" s="36">
        <f>+E23-C23</f>
        <v>-7023</v>
      </c>
      <c r="K23" s="7"/>
    </row>
    <row r="24" spans="1:15" hidden="1" x14ac:dyDescent="0.25">
      <c r="C24" s="36"/>
      <c r="D24" s="36"/>
      <c r="E24" s="36"/>
      <c r="F24" s="36"/>
      <c r="G24" s="84"/>
      <c r="H24" s="36"/>
      <c r="I24" s="36">
        <f>+E24-C24</f>
        <v>0</v>
      </c>
    </row>
    <row r="25" spans="1:15" ht="6" customHeight="1" x14ac:dyDescent="0.25">
      <c r="C25" s="37"/>
      <c r="D25" s="36"/>
      <c r="E25" s="37"/>
      <c r="F25" s="36"/>
      <c r="G25" s="84"/>
      <c r="H25" s="36"/>
      <c r="I25" s="37"/>
    </row>
    <row r="26" spans="1:15" x14ac:dyDescent="0.25">
      <c r="A26" s="2" t="s">
        <v>48</v>
      </c>
      <c r="C26" s="36">
        <f>SUM(C20:C24)</f>
        <v>4291063</v>
      </c>
      <c r="D26" s="36"/>
      <c r="E26" s="36">
        <f>SUM(E20:E24)</f>
        <v>3906894.36</v>
      </c>
      <c r="F26" s="36"/>
      <c r="G26" s="84"/>
      <c r="H26" s="36"/>
      <c r="I26" s="36">
        <f>SUM(I20:I24)</f>
        <v>-384168.64</v>
      </c>
      <c r="O26" s="149"/>
    </row>
    <row r="27" spans="1:15" x14ac:dyDescent="0.25">
      <c r="A27" s="2" t="s">
        <v>44</v>
      </c>
      <c r="B27" s="2" t="s">
        <v>49</v>
      </c>
      <c r="C27" s="36">
        <v>-2671325</v>
      </c>
      <c r="D27" s="36"/>
      <c r="E27" s="36">
        <f>-SUM('Sch 4'!K13:K25)</f>
        <v>-2706916</v>
      </c>
      <c r="F27" s="36"/>
      <c r="G27" s="84">
        <v>4</v>
      </c>
      <c r="H27" s="36"/>
      <c r="I27" s="36">
        <f>+E27-C27</f>
        <v>-35591</v>
      </c>
    </row>
    <row r="28" spans="1:15" x14ac:dyDescent="0.25">
      <c r="B28" s="2" t="s">
        <v>50</v>
      </c>
      <c r="C28" s="36">
        <v>-42896</v>
      </c>
      <c r="D28" s="36"/>
      <c r="E28" s="36">
        <f>-'Sch 4'!K26</f>
        <v>-42896</v>
      </c>
      <c r="F28" s="36"/>
      <c r="G28" s="84">
        <v>4</v>
      </c>
      <c r="H28" s="36"/>
      <c r="I28" s="36">
        <f>+E28-C28</f>
        <v>0</v>
      </c>
      <c r="J28" s="52"/>
      <c r="K28" s="7"/>
    </row>
    <row r="29" spans="1:15" ht="6" customHeight="1" x14ac:dyDescent="0.25">
      <c r="C29" s="37"/>
      <c r="D29" s="36"/>
      <c r="E29" s="37"/>
      <c r="F29" s="36"/>
      <c r="G29" s="84"/>
      <c r="H29" s="36"/>
      <c r="I29" s="37"/>
    </row>
    <row r="30" spans="1:15" x14ac:dyDescent="0.25">
      <c r="A30" s="2" t="s">
        <v>51</v>
      </c>
      <c r="C30" s="7">
        <f>+C26+C28+C27</f>
        <v>1576842</v>
      </c>
      <c r="E30" s="7">
        <f>+E26+E28+E27</f>
        <v>1157082.3599999999</v>
      </c>
      <c r="I30" s="7">
        <f>+I26+I28+I27</f>
        <v>-419759.64</v>
      </c>
    </row>
    <row r="31" spans="1:15" x14ac:dyDescent="0.25">
      <c r="A31" s="2" t="s">
        <v>52</v>
      </c>
      <c r="B31" s="2" t="s">
        <v>53</v>
      </c>
      <c r="C31" s="36">
        <v>2318</v>
      </c>
      <c r="E31" s="36">
        <f>ROUND(+E30/(1-Inputs!C10),0)-'Sch 1'!E30</f>
        <v>1738.6400000001304</v>
      </c>
      <c r="I31" s="36">
        <f>+E31-C31</f>
        <v>-579.35999999986961</v>
      </c>
      <c r="M31" s="103"/>
    </row>
    <row r="32" spans="1:15" x14ac:dyDescent="0.25">
      <c r="B32" s="2" t="s">
        <v>54</v>
      </c>
      <c r="C32" s="36">
        <v>7733</v>
      </c>
      <c r="E32" s="36">
        <f>ROUND(+E30/(1-0.005),0)-'Sch 1'!E30</f>
        <v>5814.6400000001304</v>
      </c>
      <c r="I32" s="36">
        <f>+E32-C32</f>
        <v>-1918.3599999998696</v>
      </c>
      <c r="M32" s="143"/>
      <c r="N32" s="176"/>
    </row>
    <row r="33" spans="1:15" ht="6" customHeight="1" x14ac:dyDescent="0.25">
      <c r="C33" s="85"/>
      <c r="E33" s="85"/>
      <c r="I33" s="85"/>
    </row>
    <row r="34" spans="1:15" ht="16.5" thickBot="1" x14ac:dyDescent="0.3">
      <c r="A34" s="2" t="s">
        <v>55</v>
      </c>
      <c r="C34" s="86">
        <f>+C30+C31+C32-1</f>
        <v>1586892</v>
      </c>
      <c r="E34" s="86">
        <f>+E30+E31+E32</f>
        <v>1164635.6400000001</v>
      </c>
      <c r="I34" s="86">
        <f>SUM(I30:I31)</f>
        <v>-420338.99999999988</v>
      </c>
    </row>
    <row r="35" spans="1:15" ht="16.5" thickTop="1" x14ac:dyDescent="0.25">
      <c r="L35" s="103"/>
      <c r="N35" s="149"/>
      <c r="O35" s="103"/>
    </row>
    <row r="36" spans="1:15" ht="16.5" thickBot="1" x14ac:dyDescent="0.3">
      <c r="A36" s="2" t="s">
        <v>56</v>
      </c>
      <c r="C36" s="38">
        <f>IF(SUM(C27)=0,0,ROUND(-C34/C27,6))</f>
        <v>0.59404699999999999</v>
      </c>
      <c r="D36" s="87"/>
      <c r="E36" s="38">
        <f>-IF(SUM('Sch 4'!K13:K26)=0,0,ROUND(E34/E27,6))</f>
        <v>0.43024400000000002</v>
      </c>
      <c r="F36" s="87"/>
      <c r="G36" s="88"/>
      <c r="H36" s="87"/>
      <c r="I36" s="38">
        <f>+E36-C36</f>
        <v>-0.16380299999999998</v>
      </c>
    </row>
    <row r="37" spans="1:15" ht="16.5" thickTop="1" x14ac:dyDescent="0.25">
      <c r="E37" s="156"/>
    </row>
    <row r="38" spans="1:15" ht="16.5" thickBot="1" x14ac:dyDescent="0.3"/>
    <row r="39" spans="1:15" x14ac:dyDescent="0.25">
      <c r="A39" s="89"/>
      <c r="B39" s="11"/>
      <c r="C39" s="220" t="s">
        <v>57</v>
      </c>
      <c r="D39" s="220"/>
      <c r="E39" s="220"/>
      <c r="F39" s="11"/>
      <c r="G39" s="12"/>
      <c r="H39" s="11"/>
      <c r="I39" s="90" t="s">
        <v>27</v>
      </c>
    </row>
    <row r="40" spans="1:15" x14ac:dyDescent="0.25">
      <c r="A40" s="91" t="str">
        <f>IF(Inputs!C16=1,Inputs!A16,Inputs!A17)</f>
        <v>Current Rate for 4,000 Gallons</v>
      </c>
      <c r="C40" s="92" t="s">
        <v>34</v>
      </c>
      <c r="D40" s="203"/>
      <c r="E40" s="92" t="s">
        <v>27</v>
      </c>
      <c r="I40" s="93" t="s">
        <v>36</v>
      </c>
    </row>
    <row r="41" spans="1:15" x14ac:dyDescent="0.25">
      <c r="A41" s="94"/>
      <c r="I41" s="95"/>
      <c r="J41" s="53"/>
    </row>
    <row r="42" spans="1:15" x14ac:dyDescent="0.25">
      <c r="A42" s="94"/>
      <c r="B42" s="96" t="str">
        <f>IF(Inputs!C16=1,"Current Rate = $"&amp;Inputs!E16,"Current Rate = $"&amp;Inputs!E17)</f>
        <v>Current Rate = $23.34</v>
      </c>
      <c r="C42" s="97">
        <f>ROUND(IF(Inputs!$C$16=1,Inputs!$E$16*(1+C36),Inputs!$E$17*(1+C36)),2)</f>
        <v>37.21</v>
      </c>
      <c r="E42" s="97">
        <f>ROUND(IF(Inputs!$C$16=1,Inputs!$E$16*(1+E36),Inputs!$E$17*(1+E36)),2)</f>
        <v>33.380000000000003</v>
      </c>
      <c r="I42" s="98">
        <f>+E42-C42</f>
        <v>-3.8299999999999983</v>
      </c>
      <c r="J42" s="53"/>
      <c r="K42" s="143"/>
      <c r="L42" s="143"/>
    </row>
    <row r="43" spans="1:15" ht="16.5" thickBot="1" x14ac:dyDescent="0.3">
      <c r="A43" s="13"/>
      <c r="B43" s="14"/>
      <c r="C43" s="14"/>
      <c r="D43" s="14"/>
      <c r="E43" s="14"/>
      <c r="F43" s="14"/>
      <c r="G43" s="15"/>
      <c r="H43" s="14"/>
      <c r="I43" s="99"/>
    </row>
    <row r="46" spans="1:15" x14ac:dyDescent="0.25">
      <c r="I46" s="16" t="str">
        <f>+I1</f>
        <v>OUCC</v>
      </c>
    </row>
    <row r="47" spans="1:15" x14ac:dyDescent="0.25">
      <c r="I47" s="16" t="s">
        <v>28</v>
      </c>
    </row>
    <row r="48" spans="1:15" x14ac:dyDescent="0.25">
      <c r="I48" s="16" t="s">
        <v>58</v>
      </c>
    </row>
    <row r="49" spans="1:11" s="34" customFormat="1" ht="20.25" x14ac:dyDescent="0.3">
      <c r="A49" s="221" t="str">
        <f>+Inputs!$C$5</f>
        <v>Eastern Heights Utilities, Inc.</v>
      </c>
      <c r="B49" s="221"/>
      <c r="C49" s="221"/>
      <c r="D49" s="221"/>
      <c r="E49" s="221"/>
      <c r="F49" s="221"/>
      <c r="G49" s="221"/>
      <c r="H49" s="221"/>
      <c r="I49" s="221"/>
    </row>
    <row r="50" spans="1:11" s="34" customFormat="1" ht="18.75" x14ac:dyDescent="0.3">
      <c r="A50" s="217" t="str">
        <f>"CAUSE NUMBER "&amp;Inputs!$C$6</f>
        <v>CAUSE NUMBER 46084-U</v>
      </c>
      <c r="B50" s="217"/>
      <c r="C50" s="217"/>
      <c r="D50" s="217"/>
      <c r="E50" s="217"/>
      <c r="F50" s="217"/>
      <c r="G50" s="217"/>
      <c r="H50" s="217"/>
      <c r="I50" s="217"/>
    </row>
    <row r="52" spans="1:11" x14ac:dyDescent="0.25">
      <c r="A52" s="218" t="s">
        <v>59</v>
      </c>
      <c r="B52" s="218"/>
      <c r="C52" s="218"/>
      <c r="D52" s="218"/>
      <c r="E52" s="218"/>
      <c r="F52" s="218"/>
      <c r="G52" s="218"/>
      <c r="H52" s="218"/>
      <c r="I52" s="218"/>
    </row>
    <row r="53" spans="1:11" x14ac:dyDescent="0.25">
      <c r="A53" s="219" t="s">
        <v>60</v>
      </c>
      <c r="B53" s="218"/>
      <c r="C53" s="218"/>
      <c r="D53" s="218"/>
      <c r="E53" s="218"/>
      <c r="F53" s="218"/>
      <c r="G53" s="218"/>
      <c r="H53" s="218"/>
      <c r="I53" s="218"/>
    </row>
    <row r="55" spans="1:11" x14ac:dyDescent="0.25">
      <c r="B55" s="1"/>
      <c r="C55" s="201" t="str">
        <f>+C10</f>
        <v>Per</v>
      </c>
      <c r="D55" s="201"/>
      <c r="E55" s="201" t="str">
        <f>+E10</f>
        <v>Per</v>
      </c>
      <c r="F55" s="201"/>
      <c r="G55" s="201"/>
      <c r="H55" s="201"/>
      <c r="I55" s="201" t="str">
        <f>+I10</f>
        <v>OUCC</v>
      </c>
    </row>
    <row r="56" spans="1:11" x14ac:dyDescent="0.25">
      <c r="B56" s="1"/>
      <c r="C56" s="82" t="str">
        <f>+C11</f>
        <v>Petitioner</v>
      </c>
      <c r="D56" s="201"/>
      <c r="E56" s="82" t="str">
        <f>+E11</f>
        <v>OUCC</v>
      </c>
      <c r="F56" s="201"/>
      <c r="G56" s="201"/>
      <c r="H56" s="201"/>
      <c r="I56" s="82" t="str">
        <f>+I11</f>
        <v>More (Less)</v>
      </c>
    </row>
    <row r="57" spans="1:11" ht="6" customHeight="1" x14ac:dyDescent="0.25"/>
    <row r="58" spans="1:11" x14ac:dyDescent="0.25">
      <c r="A58" s="2" t="s">
        <v>61</v>
      </c>
      <c r="C58" s="39"/>
      <c r="D58" s="35"/>
      <c r="E58" s="35"/>
      <c r="F58" s="35"/>
      <c r="G58" s="100"/>
      <c r="H58" s="35"/>
      <c r="I58" s="35"/>
      <c r="J58" s="30"/>
    </row>
    <row r="59" spans="1:11" x14ac:dyDescent="0.25">
      <c r="B59" s="2" t="s">
        <v>62</v>
      </c>
      <c r="C59" s="39">
        <f>3404-10991</f>
        <v>-7587</v>
      </c>
      <c r="D59" s="35"/>
      <c r="E59" s="35">
        <f>'Sch 4'!G15+'Sch 4'!G14</f>
        <v>24600</v>
      </c>
      <c r="F59" s="35"/>
      <c r="G59" s="100"/>
      <c r="H59" s="35"/>
      <c r="I59" s="35">
        <f>+E59-C59</f>
        <v>32187</v>
      </c>
      <c r="J59" s="54"/>
    </row>
    <row r="60" spans="1:11" x14ac:dyDescent="0.25">
      <c r="B60" s="2" t="s">
        <v>63</v>
      </c>
      <c r="C60" s="40">
        <v>0</v>
      </c>
      <c r="D60" s="35"/>
      <c r="E60" s="36">
        <f>'Sch 4'!G16</f>
        <v>3404</v>
      </c>
      <c r="F60" s="35"/>
      <c r="G60" s="100"/>
      <c r="H60" s="35"/>
      <c r="I60" s="36">
        <f t="shared" ref="I60:I61" si="1">+E60-C60</f>
        <v>3404</v>
      </c>
      <c r="J60" s="54"/>
    </row>
    <row r="61" spans="1:11" x14ac:dyDescent="0.25">
      <c r="A61" s="2" t="s">
        <v>64</v>
      </c>
      <c r="C61" s="40">
        <v>4324</v>
      </c>
      <c r="D61" s="35"/>
      <c r="E61" s="36">
        <f>'Sch 4'!G26</f>
        <v>4324</v>
      </c>
      <c r="F61" s="35"/>
      <c r="G61" s="100"/>
      <c r="H61" s="35"/>
      <c r="I61" s="36">
        <f t="shared" si="1"/>
        <v>0</v>
      </c>
      <c r="J61" s="54"/>
    </row>
    <row r="62" spans="1:11" x14ac:dyDescent="0.25">
      <c r="A62"/>
      <c r="B62"/>
      <c r="C62" s="40"/>
      <c r="E62" s="36"/>
      <c r="I62" s="36"/>
    </row>
    <row r="63" spans="1:11" x14ac:dyDescent="0.25">
      <c r="A63" t="str">
        <f>+'Sch 4'!C27</f>
        <v>Total Operating Revenues</v>
      </c>
      <c r="C63" s="41">
        <f>SUM(C58:C62)</f>
        <v>-3263</v>
      </c>
      <c r="E63" s="41">
        <f>SUM(E58:E62)</f>
        <v>32328</v>
      </c>
      <c r="I63" s="41">
        <f>SUM(I58:I62)</f>
        <v>35591</v>
      </c>
      <c r="K63" s="7"/>
    </row>
    <row r="64" spans="1:11" x14ac:dyDescent="0.25">
      <c r="A64"/>
      <c r="B64"/>
      <c r="C64"/>
    </row>
    <row r="65" spans="1:14" x14ac:dyDescent="0.25">
      <c r="B65"/>
      <c r="C65"/>
    </row>
    <row r="66" spans="1:14" x14ac:dyDescent="0.25">
      <c r="A66" s="2" t="s">
        <v>65</v>
      </c>
      <c r="C66" s="36">
        <v>101204</v>
      </c>
      <c r="D66" s="36"/>
      <c r="E66" s="36">
        <f>'Sch 4'!G30</f>
        <v>64457</v>
      </c>
      <c r="F66" s="36"/>
      <c r="G66" s="101"/>
      <c r="H66" s="36"/>
      <c r="I66" s="36">
        <f>+E66-C66</f>
        <v>-36747</v>
      </c>
    </row>
    <row r="67" spans="1:14" x14ac:dyDescent="0.25">
      <c r="A67" s="2" t="s">
        <v>66</v>
      </c>
      <c r="C67" s="40">
        <v>64161</v>
      </c>
      <c r="D67" s="36"/>
      <c r="E67" s="36">
        <f>'Sch 4'!G32</f>
        <v>61405</v>
      </c>
      <c r="F67" s="36"/>
      <c r="G67" s="101"/>
      <c r="H67" s="36"/>
      <c r="I67" s="36">
        <f t="shared" ref="I67:I82" si="2">+E67-C67</f>
        <v>-2756</v>
      </c>
    </row>
    <row r="68" spans="1:14" x14ac:dyDescent="0.25">
      <c r="A68" s="2" t="s">
        <v>67</v>
      </c>
      <c r="C68" s="40">
        <v>6809</v>
      </c>
      <c r="D68" s="36"/>
      <c r="E68" s="36">
        <f>'Sch 4'!G33</f>
        <v>6809</v>
      </c>
      <c r="F68" s="36"/>
      <c r="G68" s="101"/>
      <c r="H68" s="36"/>
      <c r="I68" s="36">
        <f t="shared" si="2"/>
        <v>0</v>
      </c>
    </row>
    <row r="69" spans="1:14" x14ac:dyDescent="0.25">
      <c r="A69" s="2" t="s">
        <v>68</v>
      </c>
      <c r="C69" s="40">
        <v>479</v>
      </c>
      <c r="D69" s="36"/>
      <c r="E69" s="36">
        <f>'Sch 4'!G34</f>
        <v>479</v>
      </c>
      <c r="F69" s="36"/>
      <c r="G69" s="101"/>
      <c r="H69" s="36"/>
      <c r="I69" s="36">
        <f t="shared" si="2"/>
        <v>0</v>
      </c>
    </row>
    <row r="70" spans="1:14" x14ac:dyDescent="0.25">
      <c r="A70" s="2" t="s">
        <v>69</v>
      </c>
      <c r="C70" s="40">
        <f>133059</f>
        <v>133059</v>
      </c>
      <c r="D70" s="36"/>
      <c r="E70" s="36">
        <f>'Sch 4'!G36+'Sch 4'!G37</f>
        <v>121126</v>
      </c>
      <c r="F70" s="36"/>
      <c r="G70" s="101"/>
      <c r="H70" s="36"/>
      <c r="I70" s="36">
        <f t="shared" si="2"/>
        <v>-11933</v>
      </c>
    </row>
    <row r="71" spans="1:14" x14ac:dyDescent="0.25">
      <c r="A71" s="2" t="s">
        <v>70</v>
      </c>
      <c r="B71"/>
      <c r="C71" s="40">
        <v>0</v>
      </c>
      <c r="D71" s="36"/>
      <c r="E71" s="36">
        <f>'Sch 4'!G42+'Sch 4'!G43</f>
        <v>-24393</v>
      </c>
      <c r="F71" s="36"/>
      <c r="G71" s="101"/>
      <c r="H71" s="36"/>
      <c r="I71" s="36">
        <f t="shared" si="2"/>
        <v>-24393</v>
      </c>
    </row>
    <row r="72" spans="1:14" x14ac:dyDescent="0.25">
      <c r="A72" s="2" t="s">
        <v>71</v>
      </c>
      <c r="B72"/>
      <c r="C72" s="40"/>
      <c r="D72" s="36"/>
      <c r="E72" s="36"/>
      <c r="F72" s="36"/>
      <c r="G72" s="101"/>
      <c r="H72" s="36"/>
      <c r="I72" s="36"/>
    </row>
    <row r="73" spans="1:14" x14ac:dyDescent="0.25">
      <c r="B73" t="s">
        <v>72</v>
      </c>
      <c r="C73" s="40">
        <v>-549</v>
      </c>
      <c r="D73" s="36"/>
      <c r="E73" s="36">
        <f>'Sch 4'!G48</f>
        <v>-549</v>
      </c>
      <c r="F73" s="36"/>
      <c r="G73" s="101"/>
      <c r="H73" s="36"/>
      <c r="I73" s="36">
        <f t="shared" si="2"/>
        <v>0</v>
      </c>
    </row>
    <row r="74" spans="1:14" x14ac:dyDescent="0.25">
      <c r="B74" t="s">
        <v>73</v>
      </c>
      <c r="C74" s="40">
        <v>-4132</v>
      </c>
      <c r="D74" s="36"/>
      <c r="E74" s="36">
        <f>'Sch 4'!G50</f>
        <v>-4132</v>
      </c>
      <c r="F74" s="36"/>
      <c r="G74" s="101"/>
      <c r="H74" s="36"/>
      <c r="I74" s="36">
        <f t="shared" si="2"/>
        <v>0</v>
      </c>
      <c r="J74" s="134"/>
      <c r="K74" s="134"/>
      <c r="L74" s="134"/>
      <c r="M74" s="134"/>
      <c r="N74" s="134"/>
    </row>
    <row r="75" spans="1:14" x14ac:dyDescent="0.25">
      <c r="B75" t="s">
        <v>74</v>
      </c>
      <c r="C75" s="40">
        <v>-12544</v>
      </c>
      <c r="D75" s="36"/>
      <c r="E75" s="36">
        <f>'Sch 4'!G51</f>
        <v>-12544</v>
      </c>
      <c r="F75" s="36"/>
      <c r="G75" s="101"/>
      <c r="H75" s="36"/>
      <c r="I75" s="36">
        <f t="shared" si="2"/>
        <v>0</v>
      </c>
      <c r="J75" s="134"/>
      <c r="K75" s="134"/>
      <c r="L75" s="134"/>
      <c r="M75" s="134"/>
      <c r="N75" s="134"/>
    </row>
    <row r="76" spans="1:14" x14ac:dyDescent="0.25">
      <c r="A76" s="2" t="s">
        <v>75</v>
      </c>
      <c r="C76" s="40">
        <v>48333</v>
      </c>
      <c r="D76" s="36"/>
      <c r="E76" s="36">
        <f>'Sch 4'!G53</f>
        <v>15000</v>
      </c>
      <c r="F76" s="36"/>
      <c r="G76" s="101"/>
      <c r="H76" s="36"/>
      <c r="I76" s="36">
        <f t="shared" si="2"/>
        <v>-33333</v>
      </c>
      <c r="J76" s="134"/>
      <c r="K76" s="134"/>
      <c r="L76" s="134"/>
      <c r="M76" s="134"/>
      <c r="N76" s="134"/>
    </row>
    <row r="77" spans="1:14" x14ac:dyDescent="0.25">
      <c r="A77" s="2" t="s">
        <v>12</v>
      </c>
      <c r="C77" s="40">
        <v>192</v>
      </c>
      <c r="D77" s="36"/>
      <c r="E77" s="36">
        <f>'Sch 4'!G52</f>
        <v>340</v>
      </c>
      <c r="F77" s="36"/>
      <c r="G77" s="101"/>
      <c r="H77" s="36"/>
      <c r="I77" s="36">
        <f t="shared" si="2"/>
        <v>148</v>
      </c>
      <c r="J77" s="134"/>
      <c r="K77" s="134"/>
      <c r="L77" s="134"/>
      <c r="M77" s="134"/>
      <c r="N77" s="134"/>
    </row>
    <row r="78" spans="1:14" x14ac:dyDescent="0.25">
      <c r="A78" s="102" t="s">
        <v>76</v>
      </c>
      <c r="C78" s="40">
        <v>3277</v>
      </c>
      <c r="D78" s="36"/>
      <c r="E78" s="36">
        <f>'Sch 4'!G56</f>
        <v>3277</v>
      </c>
      <c r="F78" s="36"/>
      <c r="G78" s="101"/>
      <c r="H78" s="36"/>
      <c r="I78" s="36">
        <f t="shared" si="2"/>
        <v>0</v>
      </c>
      <c r="J78" s="134"/>
      <c r="K78" s="134"/>
      <c r="L78" s="134"/>
      <c r="M78" s="134"/>
      <c r="N78" s="134"/>
    </row>
    <row r="79" spans="1:14" x14ac:dyDescent="0.25">
      <c r="A79" s="102" t="s">
        <v>77</v>
      </c>
      <c r="C79" s="40">
        <v>2583</v>
      </c>
      <c r="D79" s="36"/>
      <c r="E79" s="36">
        <f>'Sch 4'!G57</f>
        <v>2583</v>
      </c>
      <c r="F79" s="36"/>
      <c r="G79" s="101"/>
      <c r="H79" s="36"/>
      <c r="I79" s="36">
        <f t="shared" si="2"/>
        <v>0</v>
      </c>
      <c r="J79" s="134"/>
      <c r="K79" s="134"/>
      <c r="L79" s="134"/>
      <c r="M79" s="134"/>
      <c r="N79" s="134"/>
    </row>
    <row r="80" spans="1:14" x14ac:dyDescent="0.25">
      <c r="A80" s="102" t="s">
        <v>78</v>
      </c>
      <c r="B80"/>
      <c r="C80" s="40">
        <f>-287-844-230</f>
        <v>-1361</v>
      </c>
      <c r="D80" s="36"/>
      <c r="E80" s="36">
        <f>'Sch 4'!G58</f>
        <v>3563</v>
      </c>
      <c r="F80" s="36"/>
      <c r="G80" s="101"/>
      <c r="H80" s="36"/>
      <c r="I80" s="36">
        <f t="shared" si="2"/>
        <v>4924</v>
      </c>
    </row>
    <row r="81" spans="1:12" x14ac:dyDescent="0.25">
      <c r="A81" s="2" t="s">
        <v>79</v>
      </c>
      <c r="B81"/>
      <c r="C81" s="40">
        <v>0</v>
      </c>
      <c r="D81" s="36"/>
      <c r="E81" s="36">
        <f>+'Sch 4'!G61</f>
        <v>0</v>
      </c>
      <c r="F81" s="36"/>
      <c r="G81" s="101"/>
      <c r="H81" s="36"/>
      <c r="I81" s="36">
        <f t="shared" si="2"/>
        <v>0</v>
      </c>
    </row>
    <row r="82" spans="1:12" x14ac:dyDescent="0.25">
      <c r="A82" s="2" t="s">
        <v>80</v>
      </c>
      <c r="B82"/>
      <c r="C82" s="40">
        <v>8019</v>
      </c>
      <c r="D82" s="36"/>
      <c r="E82" s="36">
        <f>'Sch 4'!G63</f>
        <v>278</v>
      </c>
      <c r="F82" s="36"/>
      <c r="G82" s="101"/>
      <c r="H82" s="36"/>
      <c r="I82" s="36">
        <f t="shared" si="2"/>
        <v>-7741</v>
      </c>
    </row>
    <row r="83" spans="1:12" ht="6.95" customHeight="1" x14ac:dyDescent="0.25">
      <c r="A83"/>
      <c r="B83"/>
      <c r="C83"/>
      <c r="I83" s="36"/>
    </row>
    <row r="84" spans="1:12" x14ac:dyDescent="0.25">
      <c r="A84"/>
      <c r="B84" t="s">
        <v>81</v>
      </c>
      <c r="C84" s="41">
        <f>SUM(C66:C82)</f>
        <v>349530</v>
      </c>
      <c r="E84" s="41">
        <f>SUM(E66:E82)</f>
        <v>237699</v>
      </c>
      <c r="I84" s="41">
        <f>E84-C84</f>
        <v>-111831</v>
      </c>
      <c r="J84" s="55"/>
      <c r="K84" s="7">
        <f>E84-'Sch 4'!G65</f>
        <v>0</v>
      </c>
      <c r="L84" s="51" t="s">
        <v>82</v>
      </c>
    </row>
    <row r="85" spans="1:12" x14ac:dyDescent="0.25">
      <c r="A85"/>
      <c r="B85"/>
      <c r="C85"/>
    </row>
    <row r="86" spans="1:12" ht="16.5" thickBot="1" x14ac:dyDescent="0.3">
      <c r="A86" t="s">
        <v>83</v>
      </c>
      <c r="B86"/>
      <c r="C86" s="42">
        <f>+C63-C84</f>
        <v>-352793</v>
      </c>
      <c r="E86" s="42">
        <f>+E63-E84</f>
        <v>-205371</v>
      </c>
      <c r="I86" s="42">
        <f>+I63-I84</f>
        <v>147422</v>
      </c>
    </row>
    <row r="87" spans="1:12" ht="16.5" thickTop="1" x14ac:dyDescent="0.25"/>
    <row r="89" spans="1:12" x14ac:dyDescent="0.25">
      <c r="E89" s="55">
        <f>+E84-'Sch 4'!G65</f>
        <v>0</v>
      </c>
      <c r="G89" s="51" t="s">
        <v>84</v>
      </c>
    </row>
  </sheetData>
  <mergeCells count="9">
    <mergeCell ref="A50:I50"/>
    <mergeCell ref="A52:I52"/>
    <mergeCell ref="A53:I53"/>
    <mergeCell ref="C39:E39"/>
    <mergeCell ref="A4:I4"/>
    <mergeCell ref="A5:I5"/>
    <mergeCell ref="A7:I7"/>
    <mergeCell ref="A8:I8"/>
    <mergeCell ref="A49:I49"/>
  </mergeCells>
  <phoneticPr fontId="7" type="noConversion"/>
  <printOptions horizontalCentered="1"/>
  <pageMargins left="0.5" right="0.5" top="0.5" bottom="0.75" header="0.5" footer="0.5"/>
  <pageSetup scale="96" fitToHeight="2" orientation="portrait" r:id="rId1"/>
  <headerFooter alignWithMargins="0"/>
  <rowBreaks count="1" manualBreakCount="1">
    <brk id="4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39"/>
  </sheetPr>
  <dimension ref="A1:L119"/>
  <sheetViews>
    <sheetView view="pageBreakPreview" zoomScaleNormal="100" zoomScaleSheetLayoutView="100" workbookViewId="0"/>
  </sheetViews>
  <sheetFormatPr defaultColWidth="9" defaultRowHeight="15.75" x14ac:dyDescent="0.25"/>
  <cols>
    <col min="1" max="1" width="3" style="2" customWidth="1"/>
    <col min="2" max="2" width="2.5" style="2" customWidth="1"/>
    <col min="3" max="3" width="36" style="2" customWidth="1"/>
    <col min="4" max="4" width="1.625" style="2" customWidth="1"/>
    <col min="5" max="5" width="12.625" style="2" customWidth="1"/>
    <col min="6" max="6" width="1.625" style="2" customWidth="1"/>
    <col min="7" max="7" width="12.625" style="2" customWidth="1"/>
    <col min="8" max="8" width="1.625" style="2" customWidth="1"/>
    <col min="9" max="9" width="12.625" style="2" customWidth="1"/>
    <col min="10" max="16384" width="9" style="2"/>
  </cols>
  <sheetData>
    <row r="1" spans="1:12" x14ac:dyDescent="0.25">
      <c r="I1" s="16" t="str">
        <f>+'Sch 1'!$I$1</f>
        <v>OUCC</v>
      </c>
      <c r="J1" s="54"/>
      <c r="K1" s="54"/>
    </row>
    <row r="2" spans="1:12" x14ac:dyDescent="0.25">
      <c r="I2" s="16" t="s">
        <v>85</v>
      </c>
      <c r="J2" s="54"/>
      <c r="K2" s="54"/>
    </row>
    <row r="3" spans="1:12" x14ac:dyDescent="0.25">
      <c r="I3" s="16" t="s">
        <v>29</v>
      </c>
      <c r="J3" s="54"/>
      <c r="K3" s="53"/>
    </row>
    <row r="4" spans="1:12" s="34" customFormat="1" ht="20.25" x14ac:dyDescent="0.3">
      <c r="A4" s="221" t="str">
        <f>+Inputs!$C$5</f>
        <v>Eastern Heights Utilities, Inc.</v>
      </c>
      <c r="B4" s="221"/>
      <c r="C4" s="221"/>
      <c r="D4" s="221"/>
      <c r="E4" s="221"/>
      <c r="F4" s="221"/>
      <c r="G4" s="221"/>
      <c r="H4" s="221"/>
      <c r="I4" s="221"/>
      <c r="J4" s="56"/>
      <c r="K4" s="53"/>
    </row>
    <row r="5" spans="1:12" s="34" customFormat="1" ht="18.75" x14ac:dyDescent="0.3">
      <c r="A5" s="217" t="str">
        <f>"CAUSE NUMBER "&amp;Inputs!$C$6</f>
        <v>CAUSE NUMBER 46084-U</v>
      </c>
      <c r="B5" s="217"/>
      <c r="C5" s="217"/>
      <c r="D5" s="217"/>
      <c r="E5" s="217"/>
      <c r="F5" s="217"/>
      <c r="G5" s="217"/>
      <c r="H5" s="217"/>
      <c r="I5" s="217"/>
      <c r="J5" s="56"/>
      <c r="K5" s="53"/>
    </row>
    <row r="6" spans="1:12" x14ac:dyDescent="0.25">
      <c r="J6" s="54"/>
      <c r="K6" s="53"/>
    </row>
    <row r="7" spans="1:12" x14ac:dyDescent="0.25">
      <c r="A7" s="218" t="s">
        <v>86</v>
      </c>
      <c r="B7" s="218"/>
      <c r="C7" s="218"/>
      <c r="D7" s="218"/>
      <c r="E7" s="218"/>
      <c r="F7" s="218"/>
      <c r="G7" s="218"/>
      <c r="H7" s="218"/>
      <c r="I7" s="218"/>
      <c r="J7" s="54"/>
      <c r="K7" s="53"/>
    </row>
    <row r="8" spans="1:12" x14ac:dyDescent="0.25">
      <c r="A8" s="218" t="str">
        <f>"As of "&amp;Inputs!C8&amp;","</f>
        <v>As of December 31,</v>
      </c>
      <c r="B8" s="218"/>
      <c r="C8" s="218"/>
      <c r="D8" s="218"/>
      <c r="E8" s="218"/>
      <c r="F8" s="218"/>
      <c r="G8" s="218"/>
      <c r="H8" s="218"/>
      <c r="I8" s="218"/>
      <c r="J8" s="54"/>
      <c r="L8" s="54"/>
    </row>
    <row r="9" spans="1:12" x14ac:dyDescent="0.25">
      <c r="J9" s="54"/>
    </row>
    <row r="10" spans="1:12" x14ac:dyDescent="0.25">
      <c r="A10" s="222" t="s">
        <v>87</v>
      </c>
      <c r="B10" s="223"/>
      <c r="C10" s="223"/>
      <c r="E10" s="82">
        <f>IF(Inputs!$E$8="year","YEAR 1",+Inputs!E8)</f>
        <v>2023</v>
      </c>
      <c r="G10" s="82">
        <f>IF(Inputs!$E$8="year","YEAR 2",+E10-1)</f>
        <v>2022</v>
      </c>
      <c r="H10" s="201"/>
      <c r="I10" s="82">
        <f>IF(Inputs!$E$8="year","YEAR 3",+E10-2)</f>
        <v>2021</v>
      </c>
      <c r="J10" s="54"/>
    </row>
    <row r="11" spans="1:12" ht="6" customHeight="1" x14ac:dyDescent="0.25">
      <c r="J11" s="54"/>
    </row>
    <row r="12" spans="1:12" x14ac:dyDescent="0.25">
      <c r="A12" s="2" t="s">
        <v>88</v>
      </c>
      <c r="J12" s="54"/>
      <c r="K12" s="58"/>
    </row>
    <row r="13" spans="1:12" x14ac:dyDescent="0.25">
      <c r="B13" s="2" t="s">
        <v>89</v>
      </c>
      <c r="E13" s="35">
        <v>26864748</v>
      </c>
      <c r="G13" s="35">
        <v>26090667</v>
      </c>
      <c r="H13" s="35"/>
      <c r="I13" s="35">
        <v>25990145</v>
      </c>
      <c r="J13" s="54"/>
    </row>
    <row r="14" spans="1:12" hidden="1" x14ac:dyDescent="0.25">
      <c r="B14" s="2" t="s">
        <v>90</v>
      </c>
      <c r="E14" s="36"/>
      <c r="G14" s="36"/>
      <c r="H14" s="36"/>
      <c r="I14" s="36">
        <v>0</v>
      </c>
      <c r="J14" s="54"/>
    </row>
    <row r="15" spans="1:12" x14ac:dyDescent="0.25">
      <c r="B15" s="2" t="s">
        <v>91</v>
      </c>
      <c r="E15" s="36">
        <v>10946365</v>
      </c>
      <c r="G15" s="36">
        <v>10503105</v>
      </c>
      <c r="H15" s="36"/>
      <c r="I15" s="36">
        <v>10124551</v>
      </c>
      <c r="J15" s="54"/>
    </row>
    <row r="16" spans="1:12" x14ac:dyDescent="0.25">
      <c r="B16" s="2" t="s">
        <v>92</v>
      </c>
      <c r="E16" s="36">
        <v>12024</v>
      </c>
      <c r="G16" s="36">
        <v>12024</v>
      </c>
      <c r="H16" s="36"/>
      <c r="I16" s="36">
        <v>12024</v>
      </c>
      <c r="J16" s="54"/>
    </row>
    <row r="17" spans="1:10" x14ac:dyDescent="0.25">
      <c r="B17" s="2" t="s">
        <v>93</v>
      </c>
      <c r="E17" s="36"/>
      <c r="G17" s="36"/>
      <c r="H17" s="36"/>
      <c r="I17" s="36">
        <v>16084</v>
      </c>
      <c r="J17" s="54"/>
    </row>
    <row r="18" spans="1:10" x14ac:dyDescent="0.25">
      <c r="C18" s="2" t="s">
        <v>94</v>
      </c>
      <c r="E18" s="41">
        <f>E13-E15-E16+E17</f>
        <v>15906359</v>
      </c>
      <c r="G18" s="41">
        <f>G13-G15-G16+G17</f>
        <v>15575538</v>
      </c>
      <c r="H18" s="36"/>
      <c r="I18" s="41">
        <f>I13-I15-I16+I17</f>
        <v>15869654</v>
      </c>
      <c r="J18" s="54"/>
    </row>
    <row r="19" spans="1:10" x14ac:dyDescent="0.25">
      <c r="E19" s="5"/>
      <c r="G19" s="5"/>
      <c r="H19" s="5"/>
      <c r="I19" s="5"/>
      <c r="J19" s="54"/>
    </row>
    <row r="20" spans="1:10" x14ac:dyDescent="0.25">
      <c r="A20" s="2" t="s">
        <v>95</v>
      </c>
      <c r="E20" s="5"/>
      <c r="G20" s="5"/>
      <c r="H20" s="5"/>
      <c r="I20" s="5"/>
      <c r="J20" s="54"/>
    </row>
    <row r="21" spans="1:10" x14ac:dyDescent="0.25">
      <c r="B21" s="2" t="s">
        <v>96</v>
      </c>
      <c r="E21" s="36">
        <v>216569</v>
      </c>
      <c r="G21" s="36">
        <v>216569</v>
      </c>
      <c r="H21" s="36"/>
      <c r="I21" s="36">
        <v>216569</v>
      </c>
      <c r="J21" s="30"/>
    </row>
    <row r="22" spans="1:10" x14ac:dyDescent="0.25">
      <c r="B22" s="2" t="s">
        <v>97</v>
      </c>
      <c r="E22" s="5">
        <v>41564</v>
      </c>
      <c r="G22" s="5">
        <v>40512</v>
      </c>
      <c r="H22" s="5"/>
      <c r="I22" s="5">
        <v>39121</v>
      </c>
      <c r="J22" s="54"/>
    </row>
    <row r="23" spans="1:10" x14ac:dyDescent="0.25">
      <c r="C23" s="2" t="s">
        <v>98</v>
      </c>
      <c r="E23" s="17">
        <f>E21-E22</f>
        <v>175005</v>
      </c>
      <c r="G23" s="17">
        <f>G21-G22</f>
        <v>176057</v>
      </c>
      <c r="H23" s="5"/>
      <c r="I23" s="17">
        <f>I21-I22</f>
        <v>177448</v>
      </c>
      <c r="J23" s="54"/>
    </row>
    <row r="24" spans="1:10" x14ac:dyDescent="0.25">
      <c r="E24" s="5"/>
      <c r="G24" s="5"/>
      <c r="H24" s="5"/>
      <c r="I24" s="5"/>
      <c r="J24" s="54"/>
    </row>
    <row r="25" spans="1:10" x14ac:dyDescent="0.25">
      <c r="A25" s="2" t="s">
        <v>99</v>
      </c>
      <c r="E25" s="36"/>
      <c r="G25" s="36"/>
      <c r="H25" s="36"/>
      <c r="I25" s="36"/>
      <c r="J25" s="54"/>
    </row>
    <row r="26" spans="1:10" hidden="1" x14ac:dyDescent="0.25">
      <c r="B26" s="2" t="s">
        <v>100</v>
      </c>
      <c r="E26" s="36"/>
      <c r="G26" s="36"/>
      <c r="H26" s="36"/>
      <c r="I26" s="36"/>
      <c r="J26" s="54"/>
    </row>
    <row r="27" spans="1:10" x14ac:dyDescent="0.25">
      <c r="B27" s="2" t="s">
        <v>42</v>
      </c>
      <c r="E27" s="36">
        <v>325332</v>
      </c>
      <c r="G27" s="36">
        <v>325332</v>
      </c>
      <c r="H27" s="36"/>
      <c r="I27" s="36">
        <v>341796</v>
      </c>
      <c r="J27" s="54"/>
    </row>
    <row r="28" spans="1:10" hidden="1" x14ac:dyDescent="0.25">
      <c r="B28" s="2" t="s">
        <v>101</v>
      </c>
      <c r="E28" s="36"/>
      <c r="G28" s="36"/>
      <c r="H28" s="36"/>
      <c r="I28" s="36"/>
      <c r="J28" s="54"/>
    </row>
    <row r="29" spans="1:10" hidden="1" x14ac:dyDescent="0.25">
      <c r="B29" s="2" t="s">
        <v>102</v>
      </c>
      <c r="E29" s="36"/>
      <c r="G29" s="36"/>
      <c r="H29" s="36"/>
      <c r="I29" s="36"/>
      <c r="J29" s="54"/>
    </row>
    <row r="30" spans="1:10" x14ac:dyDescent="0.25">
      <c r="C30" s="2" t="s">
        <v>103</v>
      </c>
      <c r="E30" s="41">
        <f>SUM(E26:E29)</f>
        <v>325332</v>
      </c>
      <c r="G30" s="41">
        <f>SUM(G26:G29)</f>
        <v>325332</v>
      </c>
      <c r="H30" s="36"/>
      <c r="I30" s="41">
        <f>SUM(I26:I29)</f>
        <v>341796</v>
      </c>
      <c r="J30" s="54"/>
    </row>
    <row r="31" spans="1:10" x14ac:dyDescent="0.25">
      <c r="E31" s="36"/>
      <c r="G31" s="36"/>
      <c r="H31" s="36"/>
      <c r="I31" s="36"/>
      <c r="J31" s="54"/>
    </row>
    <row r="32" spans="1:10" x14ac:dyDescent="0.25">
      <c r="A32" s="2" t="s">
        <v>104</v>
      </c>
      <c r="E32" s="36"/>
      <c r="G32" s="36"/>
      <c r="H32" s="36"/>
      <c r="I32" s="36"/>
    </row>
    <row r="33" spans="1:10" x14ac:dyDescent="0.25">
      <c r="B33" s="2" t="s">
        <v>105</v>
      </c>
      <c r="E33" s="36">
        <v>400</v>
      </c>
      <c r="G33" s="36">
        <v>400</v>
      </c>
      <c r="H33" s="36"/>
      <c r="I33" s="36">
        <v>400</v>
      </c>
    </row>
    <row r="34" spans="1:10" hidden="1" x14ac:dyDescent="0.25">
      <c r="B34" s="114" t="s">
        <v>106</v>
      </c>
      <c r="E34" s="36"/>
      <c r="G34" s="36"/>
      <c r="H34" s="36"/>
      <c r="I34" s="36"/>
    </row>
    <row r="35" spans="1:10" x14ac:dyDescent="0.25">
      <c r="B35" s="114" t="s">
        <v>107</v>
      </c>
      <c r="E35" s="36">
        <v>600000</v>
      </c>
      <c r="G35" s="36">
        <v>600000</v>
      </c>
      <c r="H35" s="36"/>
      <c r="I35" s="36">
        <v>600000</v>
      </c>
      <c r="J35" s="54"/>
    </row>
    <row r="36" spans="1:10" x14ac:dyDescent="0.25">
      <c r="B36" s="114" t="s">
        <v>108</v>
      </c>
      <c r="E36" s="36">
        <v>126338</v>
      </c>
      <c r="G36" s="36">
        <v>316356</v>
      </c>
      <c r="H36" s="36"/>
      <c r="I36" s="36">
        <v>251785</v>
      </c>
      <c r="J36" s="54"/>
    </row>
    <row r="37" spans="1:10" x14ac:dyDescent="0.25">
      <c r="B37" s="114" t="s">
        <v>109</v>
      </c>
      <c r="E37" s="36">
        <v>279259</v>
      </c>
      <c r="G37" s="36">
        <v>20704</v>
      </c>
      <c r="H37" s="36"/>
      <c r="I37" s="36">
        <v>99997</v>
      </c>
    </row>
    <row r="38" spans="1:10" x14ac:dyDescent="0.25">
      <c r="B38" s="114" t="s">
        <v>110</v>
      </c>
      <c r="E38" s="36">
        <v>138870</v>
      </c>
      <c r="G38" s="36">
        <v>115027</v>
      </c>
      <c r="H38" s="36"/>
      <c r="I38" s="36">
        <v>114829</v>
      </c>
    </row>
    <row r="39" spans="1:10" hidden="1" x14ac:dyDescent="0.25">
      <c r="B39" s="2" t="s">
        <v>111</v>
      </c>
      <c r="E39" s="36"/>
      <c r="G39" s="36"/>
      <c r="H39" s="36"/>
      <c r="I39" s="36"/>
      <c r="J39" s="54"/>
    </row>
    <row r="40" spans="1:10" x14ac:dyDescent="0.25">
      <c r="B40" s="2" t="s">
        <v>112</v>
      </c>
      <c r="E40" s="36">
        <v>369979</v>
      </c>
      <c r="G40" s="36">
        <v>285668</v>
      </c>
      <c r="H40" s="36"/>
      <c r="I40" s="36">
        <v>132400</v>
      </c>
      <c r="J40" s="54"/>
    </row>
    <row r="41" spans="1:10" x14ac:dyDescent="0.25">
      <c r="B41" s="114" t="s">
        <v>113</v>
      </c>
      <c r="E41" s="36">
        <v>91448</v>
      </c>
      <c r="G41" s="36">
        <v>81450</v>
      </c>
      <c r="H41" s="36"/>
      <c r="I41" s="36">
        <v>74350</v>
      </c>
    </row>
    <row r="42" spans="1:10" hidden="1" x14ac:dyDescent="0.25">
      <c r="B42" s="2" t="s">
        <v>114</v>
      </c>
      <c r="E42" s="43"/>
      <c r="F42" s="43"/>
      <c r="G42" s="33"/>
      <c r="H42" s="33"/>
      <c r="I42" s="33"/>
    </row>
    <row r="43" spans="1:10" x14ac:dyDescent="0.25">
      <c r="C43" s="2" t="s">
        <v>115</v>
      </c>
      <c r="E43" s="18">
        <f>SUM(E33:E42)</f>
        <v>1606294</v>
      </c>
      <c r="G43" s="18">
        <f>SUM(G33:G42)</f>
        <v>1419605</v>
      </c>
      <c r="H43" s="5"/>
      <c r="I43" s="18">
        <f>SUM(I33:I42)</f>
        <v>1273761</v>
      </c>
      <c r="J43" s="54"/>
    </row>
    <row r="44" spans="1:10" x14ac:dyDescent="0.25">
      <c r="G44" s="5"/>
      <c r="H44" s="5"/>
      <c r="I44" s="5"/>
      <c r="J44" s="54"/>
    </row>
    <row r="45" spans="1:10" hidden="1" x14ac:dyDescent="0.25">
      <c r="A45" s="2" t="s">
        <v>116</v>
      </c>
      <c r="E45" s="5"/>
      <c r="F45" s="5"/>
      <c r="G45" s="5"/>
      <c r="H45" s="5"/>
      <c r="I45" s="5"/>
      <c r="J45" s="54"/>
    </row>
    <row r="46" spans="1:10" hidden="1" x14ac:dyDescent="0.25">
      <c r="B46" t="s">
        <v>117</v>
      </c>
      <c r="E46" s="33"/>
      <c r="F46" s="33"/>
      <c r="G46" s="33"/>
      <c r="H46" s="33"/>
      <c r="I46" s="33"/>
      <c r="J46" s="54"/>
    </row>
    <row r="47" spans="1:10" hidden="1" x14ac:dyDescent="0.25">
      <c r="B47" t="s">
        <v>118</v>
      </c>
      <c r="E47" s="33"/>
      <c r="F47" s="33"/>
      <c r="G47" s="33"/>
      <c r="H47" s="33"/>
      <c r="I47" s="33"/>
      <c r="J47" s="57"/>
    </row>
    <row r="48" spans="1:10" hidden="1" x14ac:dyDescent="0.25">
      <c r="B48" s="2" t="s">
        <v>119</v>
      </c>
      <c r="E48" s="33"/>
      <c r="F48" s="33"/>
      <c r="G48" s="33"/>
      <c r="H48" s="33"/>
      <c r="I48" s="33"/>
      <c r="J48" s="57"/>
    </row>
    <row r="49" spans="1:10" hidden="1" x14ac:dyDescent="0.25">
      <c r="C49" s="2" t="s">
        <v>120</v>
      </c>
      <c r="E49" s="17">
        <f>SUM(E46:E48)</f>
        <v>0</v>
      </c>
      <c r="F49" s="5"/>
      <c r="G49" s="17">
        <f>SUM(G46:G48)</f>
        <v>0</v>
      </c>
      <c r="H49" s="5"/>
      <c r="I49" s="17">
        <f>SUM(I46:I48)</f>
        <v>0</v>
      </c>
      <c r="J49" s="54"/>
    </row>
    <row r="50" spans="1:10" hidden="1" x14ac:dyDescent="0.25">
      <c r="E50" s="5"/>
      <c r="F50" s="5"/>
      <c r="G50" s="5"/>
      <c r="H50" s="5"/>
      <c r="I50" s="5"/>
      <c r="J50" s="54"/>
    </row>
    <row r="51" spans="1:10" ht="16.5" thickBot="1" x14ac:dyDescent="0.3">
      <c r="C51" s="30" t="s">
        <v>121</v>
      </c>
      <c r="E51" s="10">
        <f>+E49+E23+E43+E30+E18</f>
        <v>18012990</v>
      </c>
      <c r="G51" s="10">
        <f>+G49+G23+G43+G30+G18</f>
        <v>17496532</v>
      </c>
      <c r="H51" s="5"/>
      <c r="I51" s="10">
        <f>+I49+I23+I43+I30+I18</f>
        <v>17662659</v>
      </c>
      <c r="J51" s="54"/>
    </row>
    <row r="52" spans="1:10" ht="16.5" thickTop="1" x14ac:dyDescent="0.25">
      <c r="G52" s="5"/>
      <c r="H52" s="5"/>
      <c r="I52" s="5"/>
      <c r="J52" s="54"/>
    </row>
    <row r="53" spans="1:10" x14ac:dyDescent="0.25">
      <c r="G53" s="5"/>
      <c r="H53" s="5"/>
      <c r="I53" s="5"/>
      <c r="J53" s="54"/>
    </row>
    <row r="54" spans="1:10" x14ac:dyDescent="0.25">
      <c r="I54" s="16" t="str">
        <f>+'Sch 1'!$I$1</f>
        <v>OUCC</v>
      </c>
      <c r="J54" s="54"/>
    </row>
    <row r="55" spans="1:10" x14ac:dyDescent="0.25">
      <c r="I55" s="16" t="s">
        <v>85</v>
      </c>
      <c r="J55" s="54"/>
    </row>
    <row r="56" spans="1:10" x14ac:dyDescent="0.25">
      <c r="I56" s="16" t="s">
        <v>58</v>
      </c>
      <c r="J56" s="54"/>
    </row>
    <row r="57" spans="1:10" ht="20.25" x14ac:dyDescent="0.3">
      <c r="A57" s="221" t="str">
        <f>+Inputs!$C$5</f>
        <v>Eastern Heights Utilities, Inc.</v>
      </c>
      <c r="B57" s="221"/>
      <c r="C57" s="221"/>
      <c r="D57" s="221"/>
      <c r="E57" s="221"/>
      <c r="F57" s="221"/>
      <c r="G57" s="221"/>
      <c r="H57" s="221"/>
      <c r="I57" s="221"/>
    </row>
    <row r="58" spans="1:10" ht="18.75" x14ac:dyDescent="0.3">
      <c r="A58" s="217" t="str">
        <f>+A5</f>
        <v>CAUSE NUMBER 46084-U</v>
      </c>
      <c r="B58" s="217"/>
      <c r="C58" s="217"/>
      <c r="D58" s="217"/>
      <c r="E58" s="217"/>
      <c r="F58" s="217"/>
      <c r="G58" s="217"/>
      <c r="H58" s="217"/>
      <c r="I58" s="217"/>
    </row>
    <row r="60" spans="1:10" x14ac:dyDescent="0.25">
      <c r="A60" s="218" t="s">
        <v>86</v>
      </c>
      <c r="B60" s="218"/>
      <c r="C60" s="218"/>
      <c r="D60" s="218"/>
      <c r="E60" s="218"/>
      <c r="F60" s="218"/>
      <c r="G60" s="218"/>
      <c r="H60" s="218"/>
      <c r="I60" s="218"/>
    </row>
    <row r="61" spans="1:10" x14ac:dyDescent="0.25">
      <c r="A61" s="218" t="str">
        <f>"As of "&amp;Inputs!C8&amp;","</f>
        <v>As of December 31,</v>
      </c>
      <c r="B61" s="218"/>
      <c r="C61" s="218"/>
      <c r="D61" s="218"/>
      <c r="E61" s="218"/>
      <c r="F61" s="218"/>
      <c r="G61" s="218"/>
      <c r="H61" s="218"/>
      <c r="I61" s="218"/>
    </row>
    <row r="63" spans="1:10" x14ac:dyDescent="0.25">
      <c r="A63" s="222" t="s">
        <v>122</v>
      </c>
      <c r="B63" s="223"/>
      <c r="C63" s="223"/>
      <c r="E63" s="82">
        <f>+E10</f>
        <v>2023</v>
      </c>
      <c r="G63" s="82">
        <f>+G10</f>
        <v>2022</v>
      </c>
      <c r="H63" s="201"/>
      <c r="I63" s="82">
        <f>+I10</f>
        <v>2021</v>
      </c>
    </row>
    <row r="64" spans="1:10" x14ac:dyDescent="0.25">
      <c r="A64" s="2" t="s">
        <v>123</v>
      </c>
    </row>
    <row r="65" spans="1:11" x14ac:dyDescent="0.25">
      <c r="B65" s="2" t="s">
        <v>124</v>
      </c>
      <c r="E65" s="35">
        <v>-733405</v>
      </c>
      <c r="F65" s="35"/>
      <c r="G65" s="35">
        <v>-293156</v>
      </c>
      <c r="H65" s="35"/>
      <c r="I65" s="35">
        <v>-278453</v>
      </c>
      <c r="J65" s="54"/>
    </row>
    <row r="66" spans="1:11" x14ac:dyDescent="0.25">
      <c r="B66" s="2" t="s">
        <v>125</v>
      </c>
      <c r="E66" s="36"/>
      <c r="F66" s="36"/>
      <c r="G66" s="36"/>
      <c r="H66" s="36"/>
      <c r="I66" s="36"/>
      <c r="J66" s="54"/>
    </row>
    <row r="67" spans="1:11" x14ac:dyDescent="0.25">
      <c r="C67" s="2" t="s">
        <v>126</v>
      </c>
      <c r="E67" s="41">
        <f>+E65+E66</f>
        <v>-733405</v>
      </c>
      <c r="F67" s="36"/>
      <c r="G67" s="41">
        <f>+G65+G66</f>
        <v>-293156</v>
      </c>
      <c r="H67" s="36"/>
      <c r="I67" s="41">
        <f>+I65+I66</f>
        <v>-278453</v>
      </c>
      <c r="J67" s="54"/>
    </row>
    <row r="68" spans="1:11" x14ac:dyDescent="0.25">
      <c r="E68" s="36"/>
      <c r="F68" s="36"/>
      <c r="G68" s="36"/>
      <c r="H68" s="36"/>
      <c r="I68" s="36"/>
      <c r="J68" s="54"/>
    </row>
    <row r="69" spans="1:11" x14ac:dyDescent="0.25">
      <c r="A69" t="s">
        <v>127</v>
      </c>
      <c r="E69" s="36"/>
      <c r="F69" s="36"/>
      <c r="G69" s="36"/>
      <c r="H69" s="36"/>
      <c r="I69" s="36"/>
      <c r="J69" s="54"/>
    </row>
    <row r="70" spans="1:11" x14ac:dyDescent="0.25">
      <c r="A70"/>
      <c r="B70" t="s">
        <v>128</v>
      </c>
      <c r="E70" s="36">
        <v>13985601</v>
      </c>
      <c r="F70" s="36"/>
      <c r="G70" s="36">
        <v>13888313</v>
      </c>
      <c r="H70" s="36"/>
      <c r="I70" s="36">
        <v>13844548</v>
      </c>
      <c r="J70" s="54"/>
    </row>
    <row r="71" spans="1:11" hidden="1" x14ac:dyDescent="0.25">
      <c r="A71"/>
      <c r="B71" t="s">
        <v>129</v>
      </c>
      <c r="E71" s="36"/>
      <c r="F71" s="36"/>
      <c r="G71" s="36"/>
      <c r="H71" s="36"/>
      <c r="I71" s="36"/>
      <c r="J71" s="54"/>
    </row>
    <row r="72" spans="1:11" x14ac:dyDescent="0.25">
      <c r="A72"/>
      <c r="C72" t="s">
        <v>130</v>
      </c>
      <c r="E72" s="41">
        <f>+E70+E71</f>
        <v>13985601</v>
      </c>
      <c r="F72" s="36"/>
      <c r="G72" s="41">
        <f>+G70+G71</f>
        <v>13888313</v>
      </c>
      <c r="H72" s="36"/>
      <c r="I72" s="41">
        <f>+I70+I71</f>
        <v>13844548</v>
      </c>
      <c r="K72" s="54"/>
    </row>
    <row r="73" spans="1:11" x14ac:dyDescent="0.25">
      <c r="E73" s="36"/>
      <c r="F73" s="36"/>
      <c r="G73" s="36"/>
      <c r="H73" s="36"/>
      <c r="I73" s="36"/>
    </row>
    <row r="74" spans="1:11" x14ac:dyDescent="0.25">
      <c r="A74" s="2" t="s">
        <v>131</v>
      </c>
      <c r="E74" s="36"/>
      <c r="F74" s="36"/>
      <c r="G74" s="36"/>
      <c r="H74" s="36"/>
      <c r="I74" s="36"/>
    </row>
    <row r="75" spans="1:11" x14ac:dyDescent="0.25">
      <c r="B75" s="2" t="s">
        <v>132</v>
      </c>
      <c r="E75" s="36">
        <v>479439</v>
      </c>
      <c r="F75" s="36"/>
      <c r="G75" s="36">
        <v>551330</v>
      </c>
      <c r="H75" s="36"/>
      <c r="I75" s="36">
        <v>644248</v>
      </c>
      <c r="J75" s="54"/>
    </row>
    <row r="76" spans="1:11" x14ac:dyDescent="0.25">
      <c r="B76" s="2" t="s">
        <v>133</v>
      </c>
      <c r="E76" s="36">
        <v>534186</v>
      </c>
      <c r="F76" s="36"/>
      <c r="G76" s="36">
        <v>573418</v>
      </c>
      <c r="H76" s="36"/>
      <c r="I76" s="36">
        <v>610693</v>
      </c>
      <c r="J76" s="54"/>
    </row>
    <row r="77" spans="1:11" x14ac:dyDescent="0.25">
      <c r="B77" s="2" t="s">
        <v>134</v>
      </c>
      <c r="E77" s="36">
        <v>1677501</v>
      </c>
      <c r="F77" s="36"/>
      <c r="G77" s="36">
        <v>1756853</v>
      </c>
      <c r="H77" s="36"/>
      <c r="I77" s="36">
        <v>1832815</v>
      </c>
      <c r="J77" s="54"/>
    </row>
    <row r="78" spans="1:11" x14ac:dyDescent="0.25">
      <c r="B78" s="2" t="s">
        <v>135</v>
      </c>
      <c r="E78" s="36"/>
      <c r="F78" s="36"/>
      <c r="G78" s="36"/>
      <c r="H78" s="36"/>
      <c r="I78" s="36">
        <v>1229</v>
      </c>
      <c r="J78" s="54"/>
    </row>
    <row r="79" spans="1:11" x14ac:dyDescent="0.25">
      <c r="C79" s="2" t="s">
        <v>136</v>
      </c>
      <c r="E79" s="41">
        <f>SUM(E75:E78)</f>
        <v>2691126</v>
      </c>
      <c r="F79" s="36"/>
      <c r="G79" s="41">
        <f>SUM(G75:G78)</f>
        <v>2881601</v>
      </c>
      <c r="H79" s="36"/>
      <c r="I79" s="41">
        <f>SUM(I75:I78)</f>
        <v>3088985</v>
      </c>
      <c r="J79" s="54"/>
    </row>
    <row r="80" spans="1:11" x14ac:dyDescent="0.25">
      <c r="E80" s="36"/>
      <c r="F80" s="36"/>
      <c r="G80" s="36"/>
      <c r="H80" s="36"/>
      <c r="I80" s="36"/>
      <c r="J80" s="54"/>
    </row>
    <row r="81" spans="1:10" x14ac:dyDescent="0.25">
      <c r="A81" s="2" t="s">
        <v>137</v>
      </c>
      <c r="E81" s="36"/>
      <c r="F81" s="36"/>
      <c r="G81" s="36"/>
      <c r="H81" s="36"/>
      <c r="I81" s="36"/>
    </row>
    <row r="82" spans="1:10" x14ac:dyDescent="0.25">
      <c r="B82" s="2" t="s">
        <v>138</v>
      </c>
      <c r="E82" s="36">
        <v>105382</v>
      </c>
      <c r="F82" s="36"/>
      <c r="G82" s="36">
        <v>87941</v>
      </c>
      <c r="H82" s="36"/>
      <c r="I82" s="36">
        <v>62098</v>
      </c>
      <c r="J82" s="54"/>
    </row>
    <row r="83" spans="1:10" x14ac:dyDescent="0.25">
      <c r="B83" s="114" t="s">
        <v>139</v>
      </c>
      <c r="E83" s="36">
        <v>1190218</v>
      </c>
      <c r="F83" s="36"/>
      <c r="G83" s="36">
        <v>180695</v>
      </c>
      <c r="H83" s="36"/>
      <c r="I83" s="36">
        <v>213523</v>
      </c>
      <c r="J83" s="54"/>
    </row>
    <row r="84" spans="1:10" x14ac:dyDescent="0.25">
      <c r="B84" s="2" t="s">
        <v>140</v>
      </c>
      <c r="E84" s="36">
        <v>749726</v>
      </c>
      <c r="F84" s="36"/>
      <c r="G84" s="36">
        <v>730807</v>
      </c>
      <c r="H84" s="36"/>
      <c r="I84" s="36">
        <v>707764</v>
      </c>
      <c r="J84" s="54"/>
    </row>
    <row r="85" spans="1:10" x14ac:dyDescent="0.25">
      <c r="B85" s="114" t="s">
        <v>141</v>
      </c>
      <c r="E85" s="36">
        <v>15504</v>
      </c>
      <c r="F85" s="36"/>
      <c r="G85" s="36">
        <v>13281</v>
      </c>
      <c r="H85" s="36"/>
      <c r="I85" s="36">
        <v>16564</v>
      </c>
      <c r="J85" s="54"/>
    </row>
    <row r="86" spans="1:10" x14ac:dyDescent="0.25">
      <c r="B86" s="114" t="s">
        <v>142</v>
      </c>
      <c r="E86" s="36">
        <v>8838</v>
      </c>
      <c r="F86" s="36"/>
      <c r="G86" s="36">
        <v>7050</v>
      </c>
      <c r="H86" s="36"/>
      <c r="I86" s="36">
        <v>7630</v>
      </c>
      <c r="J86" s="54"/>
    </row>
    <row r="87" spans="1:10" x14ac:dyDescent="0.25">
      <c r="C87" s="2" t="s">
        <v>143</v>
      </c>
      <c r="E87" s="41">
        <f>SUM(E82:E86)</f>
        <v>2069668</v>
      </c>
      <c r="F87" s="36"/>
      <c r="G87" s="41">
        <f>SUM(G82:G86)</f>
        <v>1019774</v>
      </c>
      <c r="H87" s="36"/>
      <c r="I87" s="41">
        <f>SUM(I82:I86)</f>
        <v>1007579</v>
      </c>
    </row>
    <row r="88" spans="1:10" x14ac:dyDescent="0.25">
      <c r="E88" s="36"/>
      <c r="F88" s="36"/>
      <c r="G88" s="36"/>
      <c r="H88" s="36"/>
      <c r="I88" s="36"/>
    </row>
    <row r="89" spans="1:10" hidden="1" x14ac:dyDescent="0.25">
      <c r="A89" t="s">
        <v>144</v>
      </c>
      <c r="E89" s="36"/>
      <c r="F89" s="36"/>
      <c r="G89" s="36"/>
      <c r="H89" s="36"/>
      <c r="I89" s="36"/>
    </row>
    <row r="90" spans="1:10" hidden="1" x14ac:dyDescent="0.25">
      <c r="B90" t="s">
        <v>145</v>
      </c>
      <c r="E90" s="36"/>
      <c r="F90" s="36"/>
      <c r="G90" s="36"/>
      <c r="H90" s="36"/>
      <c r="I90" s="36"/>
      <c r="J90" s="54" t="s">
        <v>146</v>
      </c>
    </row>
    <row r="91" spans="1:10" hidden="1" x14ac:dyDescent="0.25">
      <c r="B91" t="s">
        <v>147</v>
      </c>
      <c r="E91" s="36"/>
      <c r="F91" s="36"/>
      <c r="G91" s="36"/>
      <c r="H91" s="36"/>
      <c r="I91" s="36"/>
      <c r="J91" s="54" t="s">
        <v>148</v>
      </c>
    </row>
    <row r="92" spans="1:10" hidden="1" x14ac:dyDescent="0.25">
      <c r="B92" t="s">
        <v>149</v>
      </c>
      <c r="E92" s="36"/>
      <c r="F92" s="36"/>
      <c r="G92" s="36"/>
      <c r="H92" s="36"/>
      <c r="I92" s="36"/>
      <c r="J92" s="54" t="s">
        <v>150</v>
      </c>
    </row>
    <row r="93" spans="1:10" hidden="1" x14ac:dyDescent="0.25">
      <c r="C93" t="s">
        <v>151</v>
      </c>
      <c r="E93" s="41">
        <f>SUM(E90:E92)</f>
        <v>0</v>
      </c>
      <c r="F93" s="36"/>
      <c r="G93" s="41">
        <f>SUM(G90:G92)</f>
        <v>0</v>
      </c>
      <c r="H93" s="36"/>
      <c r="I93" s="41">
        <f>SUM(I90:I92)</f>
        <v>0</v>
      </c>
    </row>
    <row r="94" spans="1:10" hidden="1" x14ac:dyDescent="0.25">
      <c r="C94"/>
      <c r="E94" s="36"/>
      <c r="F94" s="36"/>
      <c r="G94" s="36"/>
      <c r="H94" s="36"/>
      <c r="I94" s="36"/>
    </row>
    <row r="95" spans="1:10" ht="16.5" thickBot="1" x14ac:dyDescent="0.3">
      <c r="C95" s="30" t="s">
        <v>152</v>
      </c>
      <c r="E95" s="86">
        <f>+E87+E79+E72+E67+E93</f>
        <v>18012990</v>
      </c>
      <c r="F95" s="36"/>
      <c r="G95" s="86">
        <f>+G87+G79+G72+G67+G93</f>
        <v>17496532</v>
      </c>
      <c r="H95" s="36"/>
      <c r="I95" s="86">
        <f>+I87+I79+I72+I67+I93</f>
        <v>17662659</v>
      </c>
    </row>
    <row r="96" spans="1:10" ht="16.5" thickTop="1" x14ac:dyDescent="0.25">
      <c r="E96" s="36"/>
      <c r="F96" s="36"/>
      <c r="G96" s="36"/>
      <c r="H96" s="36"/>
      <c r="I96" s="36"/>
    </row>
    <row r="97" spans="5:10" x14ac:dyDescent="0.25">
      <c r="E97" s="5"/>
      <c r="F97" s="5"/>
      <c r="G97" s="5"/>
      <c r="H97" s="5"/>
      <c r="I97" s="5"/>
    </row>
    <row r="98" spans="5:10" x14ac:dyDescent="0.25">
      <c r="E98" s="5">
        <f>+E95-E51</f>
        <v>0</v>
      </c>
      <c r="F98" s="5"/>
      <c r="G98" s="5">
        <f>+G95-G51</f>
        <v>0</v>
      </c>
      <c r="H98" s="5"/>
      <c r="I98" s="5">
        <f>+I95-I51</f>
        <v>0</v>
      </c>
      <c r="J98" s="2" t="s">
        <v>153</v>
      </c>
    </row>
    <row r="99" spans="5:10" x14ac:dyDescent="0.25">
      <c r="E99" s="5"/>
      <c r="F99" s="5"/>
      <c r="G99" s="5"/>
      <c r="H99" s="5"/>
      <c r="I99" s="5"/>
    </row>
    <row r="100" spans="5:10" x14ac:dyDescent="0.25">
      <c r="E100" s="5"/>
      <c r="F100" s="5"/>
      <c r="G100" s="5"/>
      <c r="H100" s="5"/>
      <c r="I100" s="5"/>
    </row>
    <row r="101" spans="5:10" x14ac:dyDescent="0.25">
      <c r="E101" s="5"/>
      <c r="F101" s="5"/>
      <c r="G101" s="5"/>
      <c r="H101" s="5"/>
      <c r="I101" s="5"/>
    </row>
    <row r="102" spans="5:10" x14ac:dyDescent="0.25">
      <c r="E102" s="5"/>
      <c r="F102" s="5"/>
      <c r="G102" s="5"/>
      <c r="H102" s="5"/>
      <c r="I102" s="5"/>
    </row>
    <row r="103" spans="5:10" x14ac:dyDescent="0.25">
      <c r="E103" s="5"/>
      <c r="F103" s="5"/>
      <c r="G103" s="5"/>
      <c r="H103" s="5"/>
      <c r="I103" s="5"/>
    </row>
    <row r="104" spans="5:10" x14ac:dyDescent="0.25">
      <c r="E104" s="5"/>
      <c r="F104" s="5"/>
      <c r="G104" s="5"/>
      <c r="H104" s="5"/>
      <c r="I104" s="5"/>
    </row>
    <row r="105" spans="5:10" x14ac:dyDescent="0.25">
      <c r="E105" s="5"/>
      <c r="F105" s="5"/>
      <c r="G105" s="5"/>
      <c r="H105" s="5"/>
      <c r="I105" s="5"/>
    </row>
    <row r="106" spans="5:10" x14ac:dyDescent="0.25">
      <c r="E106" s="5"/>
      <c r="F106" s="5"/>
      <c r="G106" s="5"/>
      <c r="H106" s="5"/>
      <c r="I106" s="5"/>
    </row>
    <row r="107" spans="5:10" x14ac:dyDescent="0.25">
      <c r="E107" s="5"/>
      <c r="F107" s="5"/>
      <c r="G107" s="5"/>
      <c r="H107" s="5"/>
      <c r="I107" s="5"/>
    </row>
    <row r="108" spans="5:10" x14ac:dyDescent="0.25">
      <c r="E108" s="5"/>
      <c r="F108" s="5"/>
      <c r="G108" s="5"/>
      <c r="H108" s="5"/>
      <c r="I108" s="5"/>
    </row>
    <row r="109" spans="5:10" x14ac:dyDescent="0.25">
      <c r="E109" s="5"/>
      <c r="F109" s="5"/>
      <c r="G109" s="5"/>
      <c r="H109" s="5"/>
      <c r="I109" s="5"/>
    </row>
    <row r="110" spans="5:10" x14ac:dyDescent="0.25">
      <c r="E110" s="5"/>
      <c r="F110" s="5"/>
      <c r="G110" s="5"/>
      <c r="H110" s="5"/>
      <c r="I110" s="5"/>
    </row>
    <row r="111" spans="5:10" x14ac:dyDescent="0.25">
      <c r="E111" s="5"/>
      <c r="F111" s="5"/>
      <c r="G111" s="5"/>
      <c r="H111" s="5"/>
      <c r="I111" s="5"/>
    </row>
    <row r="112" spans="5:10" x14ac:dyDescent="0.25">
      <c r="E112" s="5"/>
      <c r="F112" s="5"/>
      <c r="G112" s="5"/>
      <c r="H112" s="5"/>
      <c r="I112" s="5"/>
    </row>
    <row r="113" spans="5:9" x14ac:dyDescent="0.25">
      <c r="E113" s="5"/>
      <c r="F113" s="5"/>
      <c r="G113" s="5"/>
      <c r="H113" s="5"/>
      <c r="I113" s="5"/>
    </row>
    <row r="114" spans="5:9" x14ac:dyDescent="0.25">
      <c r="E114" s="5"/>
      <c r="F114" s="5"/>
      <c r="G114" s="5"/>
      <c r="H114" s="5"/>
      <c r="I114" s="5"/>
    </row>
    <row r="115" spans="5:9" x14ac:dyDescent="0.25">
      <c r="E115" s="5"/>
      <c r="F115" s="5"/>
      <c r="G115" s="5"/>
      <c r="H115" s="5"/>
      <c r="I115" s="5"/>
    </row>
    <row r="116" spans="5:9" x14ac:dyDescent="0.25">
      <c r="E116" s="5"/>
      <c r="F116" s="5"/>
      <c r="G116" s="5"/>
      <c r="H116" s="5"/>
      <c r="I116" s="5"/>
    </row>
    <row r="117" spans="5:9" x14ac:dyDescent="0.25">
      <c r="E117" s="5"/>
      <c r="F117" s="5"/>
      <c r="G117" s="5"/>
      <c r="H117" s="5"/>
      <c r="I117" s="5"/>
    </row>
    <row r="118" spans="5:9" x14ac:dyDescent="0.25">
      <c r="E118" s="5"/>
      <c r="F118" s="5"/>
      <c r="G118" s="5"/>
      <c r="H118" s="5"/>
      <c r="I118" s="5"/>
    </row>
    <row r="119" spans="5:9" x14ac:dyDescent="0.25">
      <c r="E119" s="5"/>
      <c r="F119" s="5"/>
      <c r="G119" s="5"/>
      <c r="H119" s="5"/>
      <c r="I119" s="5"/>
    </row>
  </sheetData>
  <mergeCells count="10">
    <mergeCell ref="A4:I4"/>
    <mergeCell ref="A5:I5"/>
    <mergeCell ref="A7:I7"/>
    <mergeCell ref="A57:I57"/>
    <mergeCell ref="A8:I8"/>
    <mergeCell ref="A63:C63"/>
    <mergeCell ref="A10:C10"/>
    <mergeCell ref="A61:I61"/>
    <mergeCell ref="A58:I58"/>
    <mergeCell ref="A60:I60"/>
  </mergeCells>
  <phoneticPr fontId="7" type="noConversion"/>
  <printOptions horizontalCentered="1"/>
  <pageMargins left="0.5" right="0.5" top="0.5" bottom="0.75" header="0.5" footer="0.5"/>
  <pageSetup fitToHeight="2" orientation="portrait" verticalDpi="2" r:id="rId1"/>
  <headerFooter alignWithMargins="0"/>
  <rowBreaks count="1" manualBreakCount="1">
    <brk id="5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1"/>
  </sheetPr>
  <dimension ref="A1:M87"/>
  <sheetViews>
    <sheetView view="pageBreakPreview" zoomScaleNormal="100" zoomScaleSheetLayoutView="100" workbookViewId="0"/>
  </sheetViews>
  <sheetFormatPr defaultColWidth="9" defaultRowHeight="15.75" x14ac:dyDescent="0.25"/>
  <cols>
    <col min="1" max="1" width="3" style="2" customWidth="1"/>
    <col min="2" max="2" width="2.75" style="2" customWidth="1"/>
    <col min="3" max="3" width="32.625" style="2" customWidth="1"/>
    <col min="4" max="4" width="1.625" style="2" customWidth="1"/>
    <col min="5" max="5" width="12.625" style="2" customWidth="1"/>
    <col min="6" max="6" width="1.625" style="2" customWidth="1"/>
    <col min="7" max="7" width="12.625" style="2" customWidth="1"/>
    <col min="8" max="8" width="1.625" style="2" customWidth="1"/>
    <col min="9" max="9" width="12.625" style="2" customWidth="1"/>
    <col min="10" max="16384" width="9" style="2"/>
  </cols>
  <sheetData>
    <row r="1" spans="1:12" x14ac:dyDescent="0.25">
      <c r="I1" s="16" t="str">
        <f>+'Sch 1'!I1</f>
        <v>OUCC</v>
      </c>
      <c r="J1" s="54"/>
      <c r="K1" s="54"/>
    </row>
    <row r="2" spans="1:12" x14ac:dyDescent="0.25">
      <c r="I2" s="16" t="s">
        <v>154</v>
      </c>
      <c r="J2" s="54"/>
      <c r="K2" s="54"/>
    </row>
    <row r="3" spans="1:12" x14ac:dyDescent="0.25">
      <c r="I3" s="16" t="s">
        <v>29</v>
      </c>
      <c r="J3" s="54"/>
      <c r="K3" s="53"/>
    </row>
    <row r="4" spans="1:12" ht="20.25" x14ac:dyDescent="0.3">
      <c r="A4" s="221" t="str">
        <f>+Inputs!$C$5</f>
        <v>Eastern Heights Utilities, Inc.</v>
      </c>
      <c r="B4" s="221"/>
      <c r="C4" s="221"/>
      <c r="D4" s="221"/>
      <c r="E4" s="221"/>
      <c r="F4" s="221"/>
      <c r="G4" s="221"/>
      <c r="H4" s="221"/>
      <c r="I4" s="221"/>
      <c r="J4" s="54"/>
      <c r="K4" s="53"/>
    </row>
    <row r="5" spans="1:12" ht="18.75" x14ac:dyDescent="0.3">
      <c r="A5" s="217" t="str">
        <f>"CAUSE NUMBER "&amp;Inputs!$C$6</f>
        <v>CAUSE NUMBER 46084-U</v>
      </c>
      <c r="B5" s="217"/>
      <c r="C5" s="217"/>
      <c r="D5" s="217"/>
      <c r="E5" s="217"/>
      <c r="F5" s="217"/>
      <c r="G5" s="217"/>
      <c r="H5" s="217"/>
      <c r="I5" s="217"/>
      <c r="J5" s="54"/>
      <c r="K5" s="53"/>
    </row>
    <row r="6" spans="1:12" x14ac:dyDescent="0.25">
      <c r="J6" s="54"/>
      <c r="K6" s="53"/>
    </row>
    <row r="7" spans="1:12" x14ac:dyDescent="0.25">
      <c r="A7" s="218" t="s">
        <v>155</v>
      </c>
      <c r="B7" s="218"/>
      <c r="C7" s="218"/>
      <c r="D7" s="218"/>
      <c r="E7" s="218"/>
      <c r="F7" s="218"/>
      <c r="G7" s="218"/>
      <c r="H7" s="218"/>
      <c r="I7" s="218"/>
      <c r="J7" s="54"/>
      <c r="K7" s="53"/>
    </row>
    <row r="8" spans="1:12" x14ac:dyDescent="0.25">
      <c r="A8" s="218" t="str">
        <f>"Twelve Months Ended "&amp;Inputs!C8&amp;","</f>
        <v>Twelve Months Ended December 31,</v>
      </c>
      <c r="B8" s="218"/>
      <c r="C8" s="218"/>
      <c r="D8" s="218"/>
      <c r="E8" s="218"/>
      <c r="F8" s="218"/>
      <c r="G8" s="218"/>
      <c r="H8" s="218"/>
      <c r="I8" s="218"/>
      <c r="J8" s="54"/>
      <c r="L8" s="54"/>
    </row>
    <row r="9" spans="1:12" x14ac:dyDescent="0.25">
      <c r="J9" s="54"/>
    </row>
    <row r="10" spans="1:12" x14ac:dyDescent="0.25">
      <c r="E10" s="82">
        <f>IF(Inputs!$E$8="year","YEAR 1",+Inputs!E8)</f>
        <v>2023</v>
      </c>
      <c r="G10" s="82">
        <f>IF(Inputs!$E$8="year","YEAR 2",+E10-1)</f>
        <v>2022</v>
      </c>
      <c r="I10" s="82">
        <f>IF(Inputs!$E$8="year","YEAR 3",+E10-2)</f>
        <v>2021</v>
      </c>
      <c r="J10" s="54"/>
    </row>
    <row r="11" spans="1:12" x14ac:dyDescent="0.25">
      <c r="A11" s="2" t="s">
        <v>156</v>
      </c>
      <c r="J11" s="60"/>
      <c r="K11" s="53"/>
    </row>
    <row r="12" spans="1:12" x14ac:dyDescent="0.25">
      <c r="B12" s="2" t="s">
        <v>61</v>
      </c>
      <c r="E12" s="35"/>
      <c r="F12" s="35"/>
      <c r="G12" s="35"/>
      <c r="H12" s="35"/>
      <c r="I12" s="35"/>
      <c r="J12" s="60"/>
    </row>
    <row r="13" spans="1:12" x14ac:dyDescent="0.25">
      <c r="C13" s="2" t="s">
        <v>62</v>
      </c>
      <c r="E13" s="35">
        <v>2342749</v>
      </c>
      <c r="F13" s="35"/>
      <c r="G13" s="35">
        <v>2259428</v>
      </c>
      <c r="H13" s="35"/>
      <c r="I13" s="35">
        <v>2112837</v>
      </c>
      <c r="J13" s="60"/>
    </row>
    <row r="14" spans="1:12" x14ac:dyDescent="0.25">
      <c r="C14" s="2" t="s">
        <v>63</v>
      </c>
      <c r="E14" s="36">
        <v>118103</v>
      </c>
      <c r="F14" s="35"/>
      <c r="G14" s="36">
        <v>111274</v>
      </c>
      <c r="H14" s="35"/>
      <c r="I14" s="36">
        <v>107407</v>
      </c>
      <c r="J14" s="60"/>
    </row>
    <row r="15" spans="1:12" x14ac:dyDescent="0.25">
      <c r="C15" s="2" t="s">
        <v>157</v>
      </c>
      <c r="E15" s="36">
        <v>12873</v>
      </c>
      <c r="F15" s="35"/>
      <c r="G15" s="36">
        <v>18768</v>
      </c>
      <c r="H15" s="35"/>
      <c r="I15" s="36">
        <v>15693</v>
      </c>
      <c r="J15" s="60"/>
    </row>
    <row r="16" spans="1:12" x14ac:dyDescent="0.25">
      <c r="C16" s="2" t="s">
        <v>158</v>
      </c>
      <c r="E16" s="36">
        <v>68701</v>
      </c>
      <c r="F16" s="35"/>
      <c r="G16" s="36">
        <v>73931</v>
      </c>
      <c r="H16" s="35"/>
      <c r="I16" s="36">
        <v>55703</v>
      </c>
      <c r="J16" s="60"/>
    </row>
    <row r="17" spans="1:11" x14ac:dyDescent="0.25">
      <c r="C17" s="2" t="s">
        <v>159</v>
      </c>
      <c r="E17" s="36">
        <v>18112</v>
      </c>
      <c r="F17" s="35"/>
      <c r="G17" s="36">
        <v>19941</v>
      </c>
      <c r="H17" s="35"/>
      <c r="I17" s="36">
        <v>14198</v>
      </c>
      <c r="J17" s="60"/>
    </row>
    <row r="18" spans="1:11" x14ac:dyDescent="0.25">
      <c r="C18" s="2" t="s">
        <v>160</v>
      </c>
      <c r="E18" s="36">
        <v>11352</v>
      </c>
      <c r="F18" s="35"/>
      <c r="G18" s="36">
        <v>11703</v>
      </c>
      <c r="H18" s="35"/>
      <c r="I18" s="36">
        <v>10851</v>
      </c>
      <c r="J18" s="60"/>
    </row>
    <row r="19" spans="1:11" x14ac:dyDescent="0.25">
      <c r="C19" s="2" t="s">
        <v>161</v>
      </c>
      <c r="E19" s="36">
        <v>3103</v>
      </c>
      <c r="F19" s="36"/>
      <c r="G19" s="36">
        <v>1950</v>
      </c>
      <c r="H19" s="36"/>
      <c r="I19" s="36">
        <v>2010</v>
      </c>
      <c r="J19" s="124"/>
    </row>
    <row r="20" spans="1:11" x14ac:dyDescent="0.25">
      <c r="B20" s="2" t="s">
        <v>162</v>
      </c>
      <c r="E20" s="36"/>
      <c r="F20" s="36"/>
      <c r="G20" s="36"/>
      <c r="H20" s="36"/>
      <c r="I20" s="36"/>
    </row>
    <row r="21" spans="1:11" x14ac:dyDescent="0.25">
      <c r="C21" s="2" t="s">
        <v>163</v>
      </c>
      <c r="E21" s="36">
        <v>77041</v>
      </c>
      <c r="F21" s="36"/>
      <c r="G21" s="36">
        <v>76585</v>
      </c>
      <c r="H21" s="36"/>
      <c r="I21" s="36">
        <v>73361</v>
      </c>
      <c r="J21" s="60"/>
    </row>
    <row r="22" spans="1:11" x14ac:dyDescent="0.25">
      <c r="C22" s="2" t="s">
        <v>164</v>
      </c>
      <c r="E22" s="36">
        <v>11074</v>
      </c>
      <c r="F22" s="36"/>
      <c r="G22" s="36">
        <v>11381</v>
      </c>
      <c r="H22" s="36"/>
      <c r="I22" s="36">
        <v>10484</v>
      </c>
      <c r="J22" s="60"/>
    </row>
    <row r="23" spans="1:11" x14ac:dyDescent="0.25">
      <c r="B23" s="2" t="s">
        <v>165</v>
      </c>
      <c r="E23" s="36">
        <v>15804</v>
      </c>
      <c r="F23" s="36"/>
      <c r="G23" s="36">
        <v>16069</v>
      </c>
      <c r="H23" s="36"/>
      <c r="I23" s="36">
        <v>14739</v>
      </c>
      <c r="J23" s="60"/>
    </row>
    <row r="24" spans="1:11" x14ac:dyDescent="0.25">
      <c r="B24" s="2" t="s">
        <v>64</v>
      </c>
      <c r="E24" s="36">
        <v>38572</v>
      </c>
      <c r="F24" s="36"/>
      <c r="G24" s="36">
        <v>34898</v>
      </c>
      <c r="H24" s="36"/>
      <c r="I24" s="36">
        <v>34977</v>
      </c>
      <c r="J24" s="60"/>
    </row>
    <row r="25" spans="1:11" x14ac:dyDescent="0.25">
      <c r="B25" s="2" t="s">
        <v>166</v>
      </c>
      <c r="E25" s="36">
        <v>0</v>
      </c>
      <c r="F25" s="36"/>
      <c r="G25" s="36">
        <v>9283</v>
      </c>
      <c r="H25" s="36"/>
      <c r="I25" s="36">
        <v>35119</v>
      </c>
      <c r="J25" s="124"/>
    </row>
    <row r="26" spans="1:11" x14ac:dyDescent="0.25">
      <c r="C26" s="2" t="s">
        <v>167</v>
      </c>
      <c r="E26" s="41">
        <f>SUM(E12:E25)</f>
        <v>2717484</v>
      </c>
      <c r="F26" s="36"/>
      <c r="G26" s="41">
        <f>SUM(G12:G25)</f>
        <v>2645211</v>
      </c>
      <c r="H26" s="36"/>
      <c r="I26" s="41">
        <f>SUM(I12:I25)</f>
        <v>2487379</v>
      </c>
      <c r="J26" s="60"/>
    </row>
    <row r="27" spans="1:11" x14ac:dyDescent="0.25">
      <c r="E27" s="5"/>
      <c r="F27" s="5"/>
      <c r="G27" s="5"/>
      <c r="H27" s="5"/>
      <c r="I27" s="5"/>
      <c r="J27" s="60"/>
    </row>
    <row r="28" spans="1:11" x14ac:dyDescent="0.25">
      <c r="A28" s="2" t="s">
        <v>37</v>
      </c>
      <c r="E28" s="36"/>
      <c r="F28" s="36"/>
      <c r="G28" s="36"/>
      <c r="H28" s="36"/>
      <c r="I28" s="36"/>
      <c r="J28" s="60"/>
    </row>
    <row r="29" spans="1:11" x14ac:dyDescent="0.25">
      <c r="B29" t="s">
        <v>65</v>
      </c>
      <c r="C29"/>
      <c r="E29" s="36">
        <v>675214</v>
      </c>
      <c r="F29" s="36"/>
      <c r="G29" s="36">
        <v>611523</v>
      </c>
      <c r="H29" s="36"/>
      <c r="I29" s="36">
        <v>631503</v>
      </c>
      <c r="J29" s="125"/>
      <c r="K29" s="125"/>
    </row>
    <row r="30" spans="1:11" x14ac:dyDescent="0.25">
      <c r="B30" t="s">
        <v>168</v>
      </c>
      <c r="C30"/>
      <c r="E30" s="36">
        <v>42601</v>
      </c>
      <c r="F30" s="36"/>
      <c r="G30" s="36">
        <v>27330</v>
      </c>
      <c r="H30" s="36"/>
      <c r="I30" s="36">
        <v>25530</v>
      </c>
      <c r="J30" s="125"/>
    </row>
    <row r="31" spans="1:11" x14ac:dyDescent="0.25">
      <c r="B31" t="s">
        <v>66</v>
      </c>
      <c r="C31"/>
      <c r="E31" s="36">
        <v>433650</v>
      </c>
      <c r="F31" s="36"/>
      <c r="G31" s="36">
        <v>346694</v>
      </c>
      <c r="H31" s="36"/>
      <c r="I31" s="36">
        <v>347543</v>
      </c>
      <c r="J31" s="125"/>
    </row>
    <row r="32" spans="1:11" x14ac:dyDescent="0.25">
      <c r="B32" t="s">
        <v>67</v>
      </c>
      <c r="C32"/>
      <c r="E32" s="36">
        <v>196195</v>
      </c>
      <c r="F32" s="36"/>
      <c r="G32" s="36">
        <v>210894</v>
      </c>
      <c r="H32" s="36"/>
      <c r="I32" s="36">
        <v>174486</v>
      </c>
      <c r="J32" s="60"/>
    </row>
    <row r="33" spans="2:10" x14ac:dyDescent="0.25">
      <c r="B33" t="s">
        <v>68</v>
      </c>
      <c r="C33"/>
      <c r="E33" s="36">
        <v>68509</v>
      </c>
      <c r="F33" s="36"/>
      <c r="G33" s="36">
        <v>71886</v>
      </c>
      <c r="H33" s="36"/>
      <c r="I33" s="36">
        <v>56556</v>
      </c>
      <c r="J33" s="60"/>
    </row>
    <row r="34" spans="2:10" x14ac:dyDescent="0.25">
      <c r="B34" t="s">
        <v>169</v>
      </c>
      <c r="C34"/>
      <c r="E34" s="36">
        <v>664855</v>
      </c>
      <c r="F34" s="36"/>
      <c r="G34" s="36">
        <v>515242</v>
      </c>
      <c r="H34" s="36"/>
      <c r="I34" s="36">
        <v>416297</v>
      </c>
      <c r="J34" s="60"/>
    </row>
    <row r="35" spans="2:10" x14ac:dyDescent="0.25">
      <c r="B35" t="s">
        <v>170</v>
      </c>
      <c r="C35"/>
      <c r="E35" s="36"/>
      <c r="F35" s="36"/>
      <c r="G35" s="36"/>
      <c r="H35" s="36"/>
      <c r="I35" s="36"/>
      <c r="J35" s="60"/>
    </row>
    <row r="36" spans="2:10" x14ac:dyDescent="0.25">
      <c r="B36"/>
      <c r="C36" t="s">
        <v>171</v>
      </c>
      <c r="E36" s="36">
        <v>120007</v>
      </c>
      <c r="F36" s="36"/>
      <c r="G36" s="36">
        <v>44696</v>
      </c>
      <c r="H36" s="36"/>
      <c r="I36" s="36">
        <v>26947</v>
      </c>
    </row>
    <row r="37" spans="2:10" x14ac:dyDescent="0.25">
      <c r="B37"/>
      <c r="C37" t="s">
        <v>172</v>
      </c>
      <c r="E37" s="36">
        <v>38986</v>
      </c>
      <c r="F37" s="36"/>
      <c r="G37" s="36">
        <v>32150</v>
      </c>
      <c r="H37" s="36"/>
      <c r="I37" s="36">
        <v>54282</v>
      </c>
    </row>
    <row r="38" spans="2:10" x14ac:dyDescent="0.25">
      <c r="B38"/>
      <c r="C38" t="s">
        <v>173</v>
      </c>
      <c r="E38" s="36">
        <v>56016</v>
      </c>
      <c r="F38" s="36"/>
      <c r="G38" s="36">
        <v>27907</v>
      </c>
      <c r="H38" s="36"/>
      <c r="I38" s="36">
        <v>31360</v>
      </c>
    </row>
    <row r="39" spans="2:10" x14ac:dyDescent="0.25">
      <c r="B39"/>
      <c r="C39" t="s">
        <v>174</v>
      </c>
      <c r="E39" s="36">
        <v>61</v>
      </c>
      <c r="F39" s="36"/>
      <c r="G39" s="36">
        <v>341</v>
      </c>
      <c r="H39" s="36"/>
      <c r="I39" s="36">
        <v>494</v>
      </c>
    </row>
    <row r="40" spans="2:10" x14ac:dyDescent="0.25">
      <c r="B40"/>
      <c r="C40" t="s">
        <v>74</v>
      </c>
      <c r="E40" s="36">
        <v>7385</v>
      </c>
      <c r="F40" s="36"/>
      <c r="G40" s="36">
        <v>1059</v>
      </c>
      <c r="H40" s="36"/>
      <c r="I40" s="36">
        <v>6990</v>
      </c>
    </row>
    <row r="41" spans="2:10" x14ac:dyDescent="0.25">
      <c r="B41" t="s">
        <v>175</v>
      </c>
      <c r="C41"/>
      <c r="E41" s="36">
        <v>46527</v>
      </c>
      <c r="F41" s="36"/>
      <c r="G41" s="36">
        <v>67977</v>
      </c>
      <c r="H41" s="36"/>
      <c r="I41" s="36">
        <v>54038</v>
      </c>
    </row>
    <row r="42" spans="2:10" x14ac:dyDescent="0.25">
      <c r="B42" t="s">
        <v>71</v>
      </c>
      <c r="C42"/>
      <c r="E42" s="36"/>
      <c r="F42" s="36"/>
      <c r="G42" s="36"/>
      <c r="H42" s="36"/>
      <c r="I42" s="36"/>
    </row>
    <row r="43" spans="2:10" x14ac:dyDescent="0.25">
      <c r="B43"/>
      <c r="C43" t="s">
        <v>72</v>
      </c>
      <c r="E43" s="36">
        <v>10444</v>
      </c>
      <c r="F43" s="36"/>
      <c r="G43" s="36">
        <v>11999</v>
      </c>
      <c r="H43" s="36"/>
      <c r="I43" s="36">
        <v>9168</v>
      </c>
    </row>
    <row r="44" spans="2:10" x14ac:dyDescent="0.25">
      <c r="B44"/>
      <c r="C44" t="s">
        <v>176</v>
      </c>
      <c r="E44" s="36"/>
      <c r="F44" s="36"/>
      <c r="G44" s="36">
        <v>384</v>
      </c>
      <c r="H44" s="36"/>
      <c r="I44" s="36">
        <v>26235</v>
      </c>
    </row>
    <row r="45" spans="2:10" x14ac:dyDescent="0.25">
      <c r="B45"/>
      <c r="C45" t="s">
        <v>73</v>
      </c>
      <c r="E45" s="36">
        <v>11047</v>
      </c>
      <c r="F45" s="36"/>
      <c r="G45" s="36">
        <v>9875</v>
      </c>
      <c r="H45" s="36"/>
      <c r="I45" s="36">
        <v>10161</v>
      </c>
    </row>
    <row r="46" spans="2:10" x14ac:dyDescent="0.25">
      <c r="B46"/>
      <c r="C46" t="s">
        <v>74</v>
      </c>
      <c r="E46" s="36">
        <v>45186</v>
      </c>
      <c r="F46" s="36"/>
      <c r="G46" s="36">
        <v>41744</v>
      </c>
      <c r="H46" s="36"/>
      <c r="I46" s="36">
        <v>14707</v>
      </c>
    </row>
    <row r="47" spans="2:10" x14ac:dyDescent="0.25">
      <c r="B47" t="s">
        <v>177</v>
      </c>
      <c r="C47"/>
      <c r="E47" s="36">
        <v>3785</v>
      </c>
      <c r="F47" s="36"/>
      <c r="G47" s="36">
        <v>2777</v>
      </c>
      <c r="H47" s="36"/>
      <c r="I47" s="36">
        <v>2586</v>
      </c>
    </row>
    <row r="48" spans="2:10" x14ac:dyDescent="0.25">
      <c r="B48" t="s">
        <v>178</v>
      </c>
      <c r="C48"/>
      <c r="E48" s="36">
        <v>13242</v>
      </c>
      <c r="F48" s="36"/>
      <c r="G48" s="36">
        <v>5693</v>
      </c>
      <c r="H48" s="36"/>
      <c r="I48" s="36">
        <v>5638</v>
      </c>
    </row>
    <row r="49" spans="1:9" x14ac:dyDescent="0.25">
      <c r="B49" t="s">
        <v>179</v>
      </c>
      <c r="C49"/>
      <c r="E49" s="36">
        <v>36</v>
      </c>
      <c r="F49" s="36"/>
      <c r="G49" s="36">
        <v>-691</v>
      </c>
      <c r="H49" s="36"/>
      <c r="I49" s="36">
        <v>702</v>
      </c>
    </row>
    <row r="50" spans="1:9" x14ac:dyDescent="0.25">
      <c r="E50" s="36"/>
      <c r="F50" s="36"/>
      <c r="G50" s="36"/>
      <c r="H50" s="36"/>
      <c r="I50" s="36"/>
    </row>
    <row r="51" spans="1:9" x14ac:dyDescent="0.25">
      <c r="C51" s="2" t="s">
        <v>180</v>
      </c>
      <c r="E51" s="17">
        <f>SUM(E29:E50)</f>
        <v>2433746</v>
      </c>
      <c r="F51" s="5"/>
      <c r="G51" s="17">
        <f>SUM(G29:G50)</f>
        <v>2029480</v>
      </c>
      <c r="H51" s="5"/>
      <c r="I51" s="17">
        <f>SUM(I29:I50)</f>
        <v>1895223</v>
      </c>
    </row>
    <row r="52" spans="1:9" x14ac:dyDescent="0.25">
      <c r="E52" s="5"/>
      <c r="F52" s="5"/>
      <c r="G52" s="5"/>
      <c r="H52" s="5"/>
      <c r="I52" s="5"/>
    </row>
    <row r="53" spans="1:9" x14ac:dyDescent="0.25">
      <c r="I53" s="16" t="str">
        <f>+'Sch 1'!I55</f>
        <v>OUCC</v>
      </c>
    </row>
    <row r="54" spans="1:9" x14ac:dyDescent="0.25">
      <c r="I54" s="16" t="s">
        <v>154</v>
      </c>
    </row>
    <row r="55" spans="1:9" x14ac:dyDescent="0.25">
      <c r="I55" s="16" t="s">
        <v>58</v>
      </c>
    </row>
    <row r="56" spans="1:9" ht="20.25" x14ac:dyDescent="0.3">
      <c r="A56" s="221" t="str">
        <f>+Inputs!$C$5</f>
        <v>Eastern Heights Utilities, Inc.</v>
      </c>
      <c r="B56" s="221"/>
      <c r="C56" s="221"/>
      <c r="D56" s="221"/>
      <c r="E56" s="221"/>
      <c r="F56" s="221"/>
      <c r="G56" s="221"/>
      <c r="H56" s="221"/>
      <c r="I56" s="221"/>
    </row>
    <row r="57" spans="1:9" ht="18.75" x14ac:dyDescent="0.3">
      <c r="A57" s="217" t="str">
        <f>"CAUSE NUMBER "&amp;Inputs!$C$6</f>
        <v>CAUSE NUMBER 46084-U</v>
      </c>
      <c r="B57" s="217"/>
      <c r="C57" s="217"/>
      <c r="D57" s="217"/>
      <c r="E57" s="217"/>
      <c r="F57" s="217"/>
      <c r="G57" s="217"/>
      <c r="H57" s="217"/>
      <c r="I57" s="217"/>
    </row>
    <row r="59" spans="1:9" x14ac:dyDescent="0.25">
      <c r="A59" s="218" t="s">
        <v>155</v>
      </c>
      <c r="B59" s="218"/>
      <c r="C59" s="218"/>
      <c r="D59" s="218"/>
      <c r="E59" s="218"/>
      <c r="F59" s="218"/>
      <c r="G59" s="218"/>
      <c r="H59" s="218"/>
      <c r="I59" s="218"/>
    </row>
    <row r="60" spans="1:9" x14ac:dyDescent="0.25">
      <c r="A60" s="218" t="str">
        <f>A8</f>
        <v>Twelve Months Ended December 31,</v>
      </c>
      <c r="B60" s="218"/>
      <c r="C60" s="218"/>
      <c r="D60" s="218"/>
      <c r="E60" s="218"/>
      <c r="F60" s="218"/>
      <c r="G60" s="218"/>
      <c r="H60" s="218"/>
      <c r="I60" s="218"/>
    </row>
    <row r="62" spans="1:9" x14ac:dyDescent="0.25">
      <c r="E62" s="82">
        <f>E10</f>
        <v>2023</v>
      </c>
      <c r="G62" s="82">
        <f>IF(Inputs!$E$8="year","YEAR 2",+E62-1)</f>
        <v>2022</v>
      </c>
      <c r="I62" s="82">
        <f>IF(Inputs!$E$8="year","YEAR 3",+E62-2)</f>
        <v>2021</v>
      </c>
    </row>
    <row r="63" spans="1:9" x14ac:dyDescent="0.25">
      <c r="B63" s="2" t="s">
        <v>181</v>
      </c>
      <c r="E63" s="36">
        <v>524161</v>
      </c>
      <c r="F63" s="36"/>
      <c r="G63" s="36">
        <v>497133</v>
      </c>
      <c r="H63" s="36"/>
      <c r="I63" s="36">
        <v>501592</v>
      </c>
    </row>
    <row r="64" spans="1:9" x14ac:dyDescent="0.25">
      <c r="B64" s="2" t="s">
        <v>79</v>
      </c>
      <c r="E64" s="36">
        <v>0</v>
      </c>
      <c r="F64" s="36"/>
      <c r="G64" s="36">
        <v>16084</v>
      </c>
      <c r="H64" s="36"/>
      <c r="I64" s="36">
        <v>16086</v>
      </c>
    </row>
    <row r="65" spans="1:13" x14ac:dyDescent="0.25">
      <c r="B65" s="2" t="s">
        <v>182</v>
      </c>
      <c r="F65" s="36"/>
      <c r="H65" s="36"/>
      <c r="J65" s="61"/>
      <c r="K65" s="61"/>
      <c r="L65" s="61"/>
      <c r="M65" s="61"/>
    </row>
    <row r="66" spans="1:13" x14ac:dyDescent="0.25">
      <c r="C66" s="2" t="s">
        <v>80</v>
      </c>
      <c r="E66" s="36">
        <v>56307</v>
      </c>
      <c r="F66" s="36"/>
      <c r="G66" s="36">
        <v>47387</v>
      </c>
      <c r="H66" s="36"/>
      <c r="I66" s="36">
        <v>49460</v>
      </c>
      <c r="J66" s="61"/>
      <c r="K66" s="61"/>
      <c r="L66" s="61"/>
      <c r="M66" s="61"/>
    </row>
    <row r="67" spans="1:13" x14ac:dyDescent="0.25">
      <c r="C67" s="2" t="s">
        <v>81</v>
      </c>
      <c r="E67" s="41">
        <f>+E51+SUM(E63:E66)</f>
        <v>3014214</v>
      </c>
      <c r="F67" s="36"/>
      <c r="G67" s="41">
        <f>+G51+SUM(G63:G66)</f>
        <v>2590084</v>
      </c>
      <c r="H67" s="36"/>
      <c r="I67" s="41">
        <f>+I51+SUM(I63:I66)</f>
        <v>2462361</v>
      </c>
      <c r="J67" s="61"/>
      <c r="K67" s="61"/>
      <c r="L67" s="61"/>
      <c r="M67" s="61"/>
    </row>
    <row r="68" spans="1:13" x14ac:dyDescent="0.25">
      <c r="E68" s="36"/>
      <c r="F68" s="36"/>
      <c r="G68" s="36"/>
      <c r="H68" s="36"/>
      <c r="I68" s="36"/>
      <c r="J68" s="60"/>
    </row>
    <row r="69" spans="1:13" x14ac:dyDescent="0.25">
      <c r="A69" s="2" t="s">
        <v>83</v>
      </c>
      <c r="E69" s="36">
        <f>+E26-E67</f>
        <v>-296730</v>
      </c>
      <c r="F69" s="36"/>
      <c r="G69" s="36">
        <f>+G26-G67</f>
        <v>55127</v>
      </c>
      <c r="H69" s="36"/>
      <c r="I69" s="36">
        <f>+I26-I67</f>
        <v>25018</v>
      </c>
      <c r="J69" s="60"/>
    </row>
    <row r="70" spans="1:13" x14ac:dyDescent="0.25">
      <c r="E70" s="36"/>
      <c r="F70" s="36"/>
      <c r="G70" s="36"/>
      <c r="H70" s="36"/>
      <c r="I70" s="36"/>
      <c r="J70" s="224"/>
      <c r="K70" s="224"/>
      <c r="L70" s="224"/>
      <c r="M70" s="224"/>
    </row>
    <row r="71" spans="1:13" x14ac:dyDescent="0.25">
      <c r="A71" s="2" t="s">
        <v>183</v>
      </c>
      <c r="E71" s="36"/>
      <c r="F71" s="36"/>
      <c r="G71" s="36"/>
      <c r="H71" s="36"/>
      <c r="I71" s="36"/>
      <c r="J71" s="224"/>
      <c r="K71" s="224"/>
      <c r="L71" s="224"/>
      <c r="M71" s="224"/>
    </row>
    <row r="72" spans="1:13" s="178" customFormat="1" x14ac:dyDescent="0.25">
      <c r="A72" t="s">
        <v>184</v>
      </c>
      <c r="B72" s="2"/>
      <c r="C72" s="2"/>
      <c r="D72" s="2"/>
      <c r="E72" s="36">
        <v>34623</v>
      </c>
      <c r="F72" s="36"/>
      <c r="G72" s="36">
        <v>33427</v>
      </c>
      <c r="H72" s="36"/>
      <c r="I72" s="36">
        <v>33279</v>
      </c>
      <c r="J72" s="224"/>
      <c r="K72" s="224"/>
      <c r="L72" s="224"/>
      <c r="M72" s="224"/>
    </row>
    <row r="73" spans="1:13" x14ac:dyDescent="0.25">
      <c r="A73" t="s">
        <v>185</v>
      </c>
      <c r="E73" s="36">
        <v>-32757</v>
      </c>
      <c r="F73" s="36"/>
      <c r="G73" s="36">
        <v>36834</v>
      </c>
      <c r="H73" s="36"/>
      <c r="I73" s="36">
        <v>5491</v>
      </c>
      <c r="J73" s="224"/>
      <c r="K73" s="224"/>
      <c r="L73" s="224"/>
      <c r="M73" s="224"/>
    </row>
    <row r="74" spans="1:13" x14ac:dyDescent="0.25">
      <c r="B74" s="2" t="s">
        <v>186</v>
      </c>
      <c r="E74" s="36">
        <v>26626</v>
      </c>
      <c r="F74" s="36"/>
      <c r="G74" s="36">
        <v>11116</v>
      </c>
      <c r="H74" s="36"/>
      <c r="I74" s="36">
        <v>7341</v>
      </c>
      <c r="J74" s="224"/>
      <c r="K74" s="224"/>
      <c r="L74" s="224"/>
      <c r="M74" s="224"/>
    </row>
    <row r="75" spans="1:13" x14ac:dyDescent="0.25">
      <c r="B75" t="s">
        <v>187</v>
      </c>
      <c r="E75" s="36">
        <v>7023</v>
      </c>
      <c r="F75" s="36"/>
      <c r="G75" s="36">
        <v>3456</v>
      </c>
      <c r="H75" s="36"/>
      <c r="I75" s="36">
        <v>190304</v>
      </c>
      <c r="J75" s="224"/>
      <c r="K75" s="224"/>
      <c r="L75" s="224"/>
      <c r="M75" s="224"/>
    </row>
    <row r="76" spans="1:13" x14ac:dyDescent="0.25">
      <c r="B76" t="s">
        <v>188</v>
      </c>
      <c r="E76" s="36">
        <v>-2407</v>
      </c>
      <c r="F76" s="36"/>
      <c r="G76" s="36">
        <v>-1898</v>
      </c>
      <c r="H76" s="36"/>
      <c r="I76" s="36">
        <v>-4262</v>
      </c>
      <c r="J76" s="60"/>
    </row>
    <row r="77" spans="1:13" x14ac:dyDescent="0.25">
      <c r="E77" s="36"/>
      <c r="F77" s="36"/>
      <c r="G77" s="36"/>
      <c r="H77" s="36"/>
      <c r="I77" s="36"/>
      <c r="J77" s="60"/>
    </row>
    <row r="78" spans="1:13" x14ac:dyDescent="0.25">
      <c r="C78" s="2" t="s">
        <v>189</v>
      </c>
      <c r="E78" s="41">
        <f>SUM(E72:E77)</f>
        <v>33108</v>
      </c>
      <c r="F78" s="36"/>
      <c r="G78" s="41">
        <f>SUM(G72:G77)</f>
        <v>82935</v>
      </c>
      <c r="H78" s="36"/>
      <c r="I78" s="41">
        <f>SUM(I72:I77)</f>
        <v>232153</v>
      </c>
      <c r="J78" s="60"/>
    </row>
    <row r="79" spans="1:13" x14ac:dyDescent="0.25">
      <c r="E79" s="36"/>
      <c r="F79" s="36"/>
      <c r="G79" s="36"/>
      <c r="H79" s="36"/>
      <c r="I79" s="36"/>
      <c r="J79" s="60"/>
    </row>
    <row r="80" spans="1:13" x14ac:dyDescent="0.25">
      <c r="A80" s="2" t="s">
        <v>190</v>
      </c>
      <c r="E80" s="36"/>
      <c r="F80" s="36"/>
      <c r="G80" s="36"/>
      <c r="H80" s="36"/>
      <c r="I80" s="36"/>
    </row>
    <row r="81" spans="1:10" x14ac:dyDescent="0.25">
      <c r="B81" s="2" t="s">
        <v>191</v>
      </c>
      <c r="E81" s="36">
        <v>176627</v>
      </c>
      <c r="F81" s="36"/>
      <c r="G81" s="36">
        <v>152765</v>
      </c>
      <c r="H81" s="36"/>
      <c r="I81" s="36">
        <v>166809</v>
      </c>
    </row>
    <row r="82" spans="1:10" x14ac:dyDescent="0.25">
      <c r="C82" s="2" t="s">
        <v>192</v>
      </c>
      <c r="E82" s="18">
        <f>SUM(E81:E81)</f>
        <v>176627</v>
      </c>
      <c r="G82" s="18">
        <f>SUM(G81:G81)</f>
        <v>152765</v>
      </c>
      <c r="I82" s="18">
        <f>SUM(I81:I81)</f>
        <v>166809</v>
      </c>
    </row>
    <row r="84" spans="1:10" ht="16.5" thickBot="1" x14ac:dyDescent="0.3">
      <c r="A84" s="2" t="s">
        <v>193</v>
      </c>
      <c r="E84" s="10">
        <f>+E69+E78-E82</f>
        <v>-440249</v>
      </c>
      <c r="G84" s="10">
        <f>+G69+G78-G82</f>
        <v>-14703</v>
      </c>
      <c r="I84" s="10">
        <f>+I69+I78-I82</f>
        <v>90362</v>
      </c>
    </row>
    <row r="85" spans="1:10" ht="16.5" thickTop="1" x14ac:dyDescent="0.25"/>
    <row r="87" spans="1:10" x14ac:dyDescent="0.25">
      <c r="E87" s="55">
        <f>('Sch 2 - BS'!E65-'Sch 2 - BS'!G65)-'Sch 3 - IS'!E84</f>
        <v>0</v>
      </c>
      <c r="G87" s="55">
        <f>('Sch 2 - BS'!G65-'Sch 2 - BS'!I65)-'Sch 3 - IS'!G84</f>
        <v>0</v>
      </c>
      <c r="J87" s="2" t="s">
        <v>194</v>
      </c>
    </row>
  </sheetData>
  <mergeCells count="9">
    <mergeCell ref="J70:M75"/>
    <mergeCell ref="A57:I57"/>
    <mergeCell ref="A59:I59"/>
    <mergeCell ref="A60:I60"/>
    <mergeCell ref="A4:I4"/>
    <mergeCell ref="A5:I5"/>
    <mergeCell ref="A7:I7"/>
    <mergeCell ref="A8:I8"/>
    <mergeCell ref="A56:I56"/>
  </mergeCells>
  <phoneticPr fontId="7" type="noConversion"/>
  <printOptions horizontalCentered="1"/>
  <pageMargins left="0.25" right="0.25" top="0.5" bottom="0.75" header="0.5" footer="0.5"/>
  <pageSetup scale="86" fitToHeight="2" orientation="portrait" verticalDpi="2" r:id="rId1"/>
  <headerFooter alignWithMargins="0"/>
  <rowBreaks count="1" manualBreakCount="1">
    <brk id="5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38"/>
    <pageSetUpPr fitToPage="1"/>
  </sheetPr>
  <dimension ref="A1:Y128"/>
  <sheetViews>
    <sheetView view="pageBreakPreview" zoomScaleNormal="100" zoomScaleSheetLayoutView="100" workbookViewId="0"/>
  </sheetViews>
  <sheetFormatPr defaultColWidth="9" defaultRowHeight="15.75" x14ac:dyDescent="0.25"/>
  <cols>
    <col min="1" max="2" width="2.625" style="2" customWidth="1"/>
    <col min="3" max="3" width="23.375" style="2" customWidth="1"/>
    <col min="4" max="4" width="1.625" style="2" customWidth="1"/>
    <col min="5" max="5" width="11.75" style="2" bestFit="1" customWidth="1"/>
    <col min="6" max="6" width="1.625" style="2" customWidth="1"/>
    <col min="7" max="7" width="11" style="2" customWidth="1"/>
    <col min="8" max="8" width="1.625" style="2" customWidth="1"/>
    <col min="9" max="9" width="5.125" style="1" customWidth="1"/>
    <col min="10" max="10" width="1.625" style="2" customWidth="1"/>
    <col min="11" max="11" width="13.75" style="2" customWidth="1"/>
    <col min="12" max="12" width="1.625" style="2" customWidth="1"/>
    <col min="13" max="13" width="11.75" style="2" bestFit="1" customWidth="1"/>
    <col min="14" max="14" width="1.625" style="2" customWidth="1"/>
    <col min="15" max="15" width="5.125" style="1" customWidth="1"/>
    <col min="16" max="16" width="1.625" style="2" customWidth="1"/>
    <col min="17" max="17" width="18" style="2" customWidth="1"/>
    <col min="18" max="18" width="9" style="2"/>
    <col min="19" max="19" width="10.125" style="2" bestFit="1" customWidth="1"/>
    <col min="20" max="24" width="9" style="2"/>
    <col min="25" max="25" width="10.125" style="2" bestFit="1" customWidth="1"/>
    <col min="26" max="16384" width="9" style="2"/>
  </cols>
  <sheetData>
    <row r="1" spans="1:18" x14ac:dyDescent="0.25">
      <c r="Q1" s="16" t="str">
        <f>+'Sch 1'!I1</f>
        <v>OUCC</v>
      </c>
    </row>
    <row r="2" spans="1:18" x14ac:dyDescent="0.25">
      <c r="Q2" s="16" t="s">
        <v>195</v>
      </c>
    </row>
    <row r="3" spans="1:18" x14ac:dyDescent="0.25">
      <c r="Q3" s="16" t="s">
        <v>196</v>
      </c>
    </row>
    <row r="4" spans="1:18" s="34" customFormat="1" ht="20.25" x14ac:dyDescent="0.3">
      <c r="A4" s="221" t="str">
        <f>+Inputs!C5</f>
        <v>Eastern Heights Utilities, Inc.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</row>
    <row r="5" spans="1:18" s="34" customFormat="1" ht="18.75" x14ac:dyDescent="0.3">
      <c r="A5" s="217" t="str">
        <f>"CAUSE NUMBER "&amp;Inputs!C6</f>
        <v>CAUSE NUMBER 46084-U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</row>
    <row r="7" spans="1:18" x14ac:dyDescent="0.25">
      <c r="A7" s="219" t="s">
        <v>197</v>
      </c>
      <c r="B7" s="219"/>
      <c r="C7" s="219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</row>
    <row r="9" spans="1:18" x14ac:dyDescent="0.25">
      <c r="E9" s="201" t="s">
        <v>198</v>
      </c>
      <c r="K9" s="202" t="s">
        <v>199</v>
      </c>
      <c r="Q9" s="202" t="s">
        <v>199</v>
      </c>
      <c r="R9" s="59"/>
    </row>
    <row r="10" spans="1:18" x14ac:dyDescent="0.25">
      <c r="E10" s="201" t="s">
        <v>200</v>
      </c>
      <c r="I10" s="201" t="s">
        <v>33</v>
      </c>
      <c r="K10" s="201" t="s">
        <v>201</v>
      </c>
      <c r="O10" s="201" t="s">
        <v>33</v>
      </c>
      <c r="Q10" s="201" t="s">
        <v>57</v>
      </c>
    </row>
    <row r="11" spans="1:18" x14ac:dyDescent="0.25">
      <c r="E11" s="115">
        <f>+Inputs!C9</f>
        <v>45291</v>
      </c>
      <c r="G11" s="82" t="s">
        <v>202</v>
      </c>
      <c r="I11" s="82" t="s">
        <v>35</v>
      </c>
      <c r="K11" s="82" t="s">
        <v>203</v>
      </c>
      <c r="M11" s="82" t="s">
        <v>202</v>
      </c>
      <c r="O11" s="82" t="s">
        <v>35</v>
      </c>
      <c r="Q11" s="82" t="s">
        <v>203</v>
      </c>
    </row>
    <row r="12" spans="1:18" x14ac:dyDescent="0.25">
      <c r="A12" s="2" t="s">
        <v>156</v>
      </c>
      <c r="M12" s="156"/>
    </row>
    <row r="13" spans="1:18" x14ac:dyDescent="0.25">
      <c r="B13" s="2" t="s">
        <v>61</v>
      </c>
      <c r="E13" s="35"/>
      <c r="G13" s="35"/>
      <c r="I13" s="116"/>
      <c r="K13" s="35"/>
      <c r="M13" s="155"/>
      <c r="Q13" s="35"/>
    </row>
    <row r="14" spans="1:18" x14ac:dyDescent="0.25">
      <c r="C14" s="2" t="s">
        <v>62</v>
      </c>
      <c r="E14" s="35">
        <f>'Sch 3 - IS'!E13</f>
        <v>2342749</v>
      </c>
      <c r="G14" s="35">
        <f>'Sch 5 - Inc Adj'!I20</f>
        <v>15058</v>
      </c>
      <c r="I14" s="116" t="s">
        <v>204</v>
      </c>
      <c r="K14" s="35">
        <f>+E14+G14+G15</f>
        <v>2367349</v>
      </c>
      <c r="M14" s="36">
        <f>+M27-SUM(M16:M25)</f>
        <v>1018537.6400000001</v>
      </c>
      <c r="Q14" s="35">
        <f>+M14+K14</f>
        <v>3385886.64</v>
      </c>
    </row>
    <row r="15" spans="1:18" x14ac:dyDescent="0.25">
      <c r="C15" s="2" t="s">
        <v>62</v>
      </c>
      <c r="E15" s="35"/>
      <c r="G15" s="36">
        <f>'Sch 5 - Inc Adj'!I63</f>
        <v>9542</v>
      </c>
      <c r="I15" s="116" t="s">
        <v>205</v>
      </c>
      <c r="K15" s="35"/>
      <c r="M15" s="36"/>
      <c r="Q15" s="35"/>
    </row>
    <row r="16" spans="1:18" x14ac:dyDescent="0.25">
      <c r="C16" s="2" t="s">
        <v>63</v>
      </c>
      <c r="E16" s="36">
        <f>'Sch 3 - IS'!E14</f>
        <v>118103</v>
      </c>
      <c r="G16" s="36">
        <v>3404</v>
      </c>
      <c r="I16" s="116" t="s">
        <v>206</v>
      </c>
      <c r="K16" s="36">
        <f>+E16+G16</f>
        <v>121507</v>
      </c>
      <c r="M16" s="36">
        <f t="shared" ref="M16:M21" si="0">IF(K16=0,0,ROUND((K16/SUM($K$14:$K$25))*$M$27,0))</f>
        <v>52278</v>
      </c>
      <c r="Q16" s="36">
        <f>+M16+K16</f>
        <v>173785</v>
      </c>
    </row>
    <row r="17" spans="1:25" x14ac:dyDescent="0.25">
      <c r="C17" s="2" t="s">
        <v>157</v>
      </c>
      <c r="E17" s="36">
        <f>'Sch 3 - IS'!E15</f>
        <v>12873</v>
      </c>
      <c r="G17" s="35"/>
      <c r="I17" s="116"/>
      <c r="K17" s="36">
        <f t="shared" ref="K17:K25" si="1">+E17+G17</f>
        <v>12873</v>
      </c>
      <c r="M17" s="36">
        <f t="shared" si="0"/>
        <v>5539</v>
      </c>
      <c r="Q17" s="36">
        <f t="shared" ref="Q17:Q20" si="2">+M17+K17</f>
        <v>18412</v>
      </c>
    </row>
    <row r="18" spans="1:25" x14ac:dyDescent="0.25">
      <c r="C18" s="2" t="s">
        <v>158</v>
      </c>
      <c r="E18" s="36">
        <f>'Sch 3 - IS'!E16</f>
        <v>68701</v>
      </c>
      <c r="G18" s="35"/>
      <c r="I18" s="116"/>
      <c r="K18" s="36">
        <f t="shared" si="1"/>
        <v>68701</v>
      </c>
      <c r="M18" s="36">
        <f t="shared" si="0"/>
        <v>29558</v>
      </c>
      <c r="Q18" s="36">
        <f t="shared" si="2"/>
        <v>98259</v>
      </c>
    </row>
    <row r="19" spans="1:25" x14ac:dyDescent="0.25">
      <c r="C19" s="2" t="s">
        <v>159</v>
      </c>
      <c r="E19" s="36">
        <f>'Sch 3 - IS'!E17</f>
        <v>18112</v>
      </c>
      <c r="G19" s="35"/>
      <c r="I19" s="116"/>
      <c r="K19" s="36">
        <f t="shared" si="1"/>
        <v>18112</v>
      </c>
      <c r="M19" s="36">
        <f t="shared" si="0"/>
        <v>7793</v>
      </c>
      <c r="Q19" s="36">
        <f t="shared" si="2"/>
        <v>25905</v>
      </c>
    </row>
    <row r="20" spans="1:25" x14ac:dyDescent="0.25">
      <c r="C20" s="2" t="s">
        <v>160</v>
      </c>
      <c r="E20" s="36">
        <f>'Sch 3 - IS'!E18</f>
        <v>11352</v>
      </c>
      <c r="G20" s="35"/>
      <c r="I20" s="116"/>
      <c r="K20" s="36">
        <f t="shared" si="1"/>
        <v>11352</v>
      </c>
      <c r="M20" s="36">
        <f t="shared" si="0"/>
        <v>4884</v>
      </c>
      <c r="Q20" s="36">
        <f t="shared" si="2"/>
        <v>16236</v>
      </c>
    </row>
    <row r="21" spans="1:25" x14ac:dyDescent="0.25">
      <c r="C21" s="2" t="s">
        <v>161</v>
      </c>
      <c r="E21" s="36">
        <f>'Sch 3 - IS'!E19</f>
        <v>3103</v>
      </c>
      <c r="G21" s="35"/>
      <c r="I21" s="116"/>
      <c r="K21" s="36">
        <f>+E21+G21</f>
        <v>3103</v>
      </c>
      <c r="M21" s="36">
        <f t="shared" si="0"/>
        <v>1335</v>
      </c>
      <c r="Q21" s="36">
        <f>+M21+K21</f>
        <v>4438</v>
      </c>
      <c r="R21" s="54"/>
    </row>
    <row r="22" spans="1:25" x14ac:dyDescent="0.25">
      <c r="B22" s="2" t="s">
        <v>162</v>
      </c>
      <c r="E22" s="36"/>
      <c r="G22" s="35"/>
      <c r="I22" s="116"/>
      <c r="K22" s="36"/>
      <c r="M22" s="35"/>
      <c r="Q22" s="36"/>
    </row>
    <row r="23" spans="1:25" x14ac:dyDescent="0.25">
      <c r="C23" s="2" t="s">
        <v>163</v>
      </c>
      <c r="E23" s="36">
        <f>'Sch 3 - IS'!E21</f>
        <v>77041</v>
      </c>
      <c r="G23" s="35"/>
      <c r="I23" s="116"/>
      <c r="K23" s="36">
        <f t="shared" si="1"/>
        <v>77041</v>
      </c>
      <c r="M23" s="36">
        <f>IF(K23=0,0,ROUND((K23/SUM($K$14:$K$25))*$M$27,0))</f>
        <v>33146</v>
      </c>
      <c r="Q23" s="36">
        <f>+M23+K23</f>
        <v>110187</v>
      </c>
    </row>
    <row r="24" spans="1:25" x14ac:dyDescent="0.25">
      <c r="C24" s="2" t="s">
        <v>164</v>
      </c>
      <c r="E24" s="36">
        <f>'Sch 3 - IS'!E22</f>
        <v>11074</v>
      </c>
      <c r="G24" s="35"/>
      <c r="I24" s="116"/>
      <c r="K24" s="36">
        <f t="shared" si="1"/>
        <v>11074</v>
      </c>
      <c r="M24" s="36">
        <f>IF(K24=0,0,ROUND((K24/SUM($K$14:$K$25))*$M$27,0))</f>
        <v>4765</v>
      </c>
      <c r="Q24" s="36">
        <f t="shared" ref="Q24" si="3">+M24+K24</f>
        <v>15839</v>
      </c>
    </row>
    <row r="25" spans="1:25" x14ac:dyDescent="0.25">
      <c r="B25" s="2" t="s">
        <v>165</v>
      </c>
      <c r="E25" s="36">
        <f>'Sch 3 - IS'!E23</f>
        <v>15804</v>
      </c>
      <c r="G25" s="35"/>
      <c r="I25" s="116"/>
      <c r="K25" s="36">
        <f t="shared" si="1"/>
        <v>15804</v>
      </c>
      <c r="M25" s="36">
        <f>IF(K25=0,0,ROUND((K25/SUM($K$14:$K$25))*$M$27,0))</f>
        <v>6800</v>
      </c>
      <c r="Q25" s="36">
        <f>+M25+K25</f>
        <v>22604</v>
      </c>
      <c r="R25" s="54"/>
    </row>
    <row r="26" spans="1:25" x14ac:dyDescent="0.25">
      <c r="B26" s="2" t="s">
        <v>64</v>
      </c>
      <c r="E26" s="36">
        <f>'Sch 3 - IS'!E24</f>
        <v>38572</v>
      </c>
      <c r="G26" s="36">
        <v>4324</v>
      </c>
      <c r="I26" s="116" t="s">
        <v>206</v>
      </c>
      <c r="K26" s="36">
        <f>+E26+G26</f>
        <v>42896</v>
      </c>
      <c r="M26" s="36"/>
      <c r="Q26" s="36">
        <f t="shared" ref="Q26" si="4">+M26+K26</f>
        <v>42896</v>
      </c>
      <c r="R26" s="54"/>
      <c r="S26" s="7"/>
    </row>
    <row r="27" spans="1:25" x14ac:dyDescent="0.25">
      <c r="C27" s="2" t="s">
        <v>167</v>
      </c>
      <c r="E27" s="41">
        <f>SUM(E13:E26)</f>
        <v>2717484</v>
      </c>
      <c r="G27" s="41">
        <f>SUM(G13:G26)</f>
        <v>32328</v>
      </c>
      <c r="K27" s="41">
        <f>SUM(K13:K26)</f>
        <v>2749812</v>
      </c>
      <c r="M27" s="41">
        <f>+'Sch 1'!E34</f>
        <v>1164635.6400000001</v>
      </c>
      <c r="O27" s="1">
        <v>1</v>
      </c>
      <c r="Q27" s="41">
        <f>SUM(Q13:Q26)</f>
        <v>3914447.64</v>
      </c>
      <c r="V27" s="7"/>
      <c r="X27" s="103"/>
      <c r="Y27" s="7"/>
    </row>
    <row r="28" spans="1:25" x14ac:dyDescent="0.25">
      <c r="E28" s="36"/>
      <c r="G28" s="36"/>
      <c r="K28" s="36"/>
      <c r="M28" s="36"/>
      <c r="Q28" s="36"/>
      <c r="S28" s="7">
        <f>E27-'Sch 3 - IS'!E26</f>
        <v>0</v>
      </c>
      <c r="U28" s="103"/>
    </row>
    <row r="29" spans="1:25" x14ac:dyDescent="0.25">
      <c r="A29" s="2" t="s">
        <v>207</v>
      </c>
      <c r="E29" s="36"/>
      <c r="G29" s="36"/>
      <c r="K29" s="36"/>
      <c r="M29" s="36"/>
      <c r="Q29" s="36"/>
    </row>
    <row r="30" spans="1:25" x14ac:dyDescent="0.25">
      <c r="B30" s="2" t="s">
        <v>65</v>
      </c>
      <c r="E30" s="36">
        <f>'Sch 3 - IS'!E29</f>
        <v>675214</v>
      </c>
      <c r="G30" s="36">
        <f>'Sch 6 - Exp Adj'!I30</f>
        <v>64457</v>
      </c>
      <c r="I30" s="116" t="s">
        <v>208</v>
      </c>
      <c r="K30" s="36">
        <f>+E30+G30</f>
        <v>739671</v>
      </c>
      <c r="M30" s="36"/>
      <c r="Q30" s="36">
        <f>+K30+M30</f>
        <v>739671</v>
      </c>
    </row>
    <row r="31" spans="1:25" x14ac:dyDescent="0.25">
      <c r="B31" s="2" t="s">
        <v>168</v>
      </c>
      <c r="E31" s="36">
        <f>'Sch 3 - IS'!E30</f>
        <v>42601</v>
      </c>
      <c r="I31" s="116"/>
      <c r="K31" s="36">
        <f>+E31+G31</f>
        <v>42601</v>
      </c>
      <c r="M31" s="36"/>
      <c r="Q31" s="36">
        <f t="shared" ref="Q31:Q54" si="5">+K31+M31</f>
        <v>42601</v>
      </c>
    </row>
    <row r="32" spans="1:25" x14ac:dyDescent="0.25">
      <c r="B32" s="2" t="s">
        <v>209</v>
      </c>
      <c r="E32" s="36">
        <f>'Sch 3 - IS'!E31</f>
        <v>433650</v>
      </c>
      <c r="G32" s="117">
        <f>'Sch 6 - Exp Adj'!I48</f>
        <v>61405</v>
      </c>
      <c r="I32" s="116" t="s">
        <v>210</v>
      </c>
      <c r="K32" s="36">
        <f>+E32+G32</f>
        <v>495055</v>
      </c>
      <c r="M32" s="36"/>
      <c r="Q32" s="36">
        <f t="shared" si="5"/>
        <v>495055</v>
      </c>
      <c r="R32" s="62"/>
    </row>
    <row r="33" spans="2:17" x14ac:dyDescent="0.25">
      <c r="B33" s="2" t="s">
        <v>67</v>
      </c>
      <c r="E33" s="36">
        <f>'Sch 3 - IS'!E32</f>
        <v>196195</v>
      </c>
      <c r="G33" s="117">
        <v>6809</v>
      </c>
      <c r="I33" s="116" t="s">
        <v>206</v>
      </c>
      <c r="K33" s="36">
        <f>+E33+G33</f>
        <v>203004</v>
      </c>
      <c r="M33" s="36"/>
      <c r="Q33" s="36">
        <f t="shared" si="5"/>
        <v>203004</v>
      </c>
    </row>
    <row r="34" spans="2:17" x14ac:dyDescent="0.25">
      <c r="B34" s="2" t="s">
        <v>68</v>
      </c>
      <c r="E34" s="36">
        <f>'Sch 3 - IS'!E33</f>
        <v>68509</v>
      </c>
      <c r="G34" s="117">
        <v>479</v>
      </c>
      <c r="I34" s="116" t="s">
        <v>206</v>
      </c>
      <c r="K34" s="36">
        <f>+E34+G34</f>
        <v>68988</v>
      </c>
      <c r="M34" s="36"/>
      <c r="Q34" s="36">
        <f t="shared" si="5"/>
        <v>68988</v>
      </c>
    </row>
    <row r="35" spans="2:17" x14ac:dyDescent="0.25">
      <c r="B35" s="2" t="s">
        <v>169</v>
      </c>
      <c r="E35" s="36">
        <f>'Sch 3 - IS'!E34</f>
        <v>664855</v>
      </c>
      <c r="G35" s="117"/>
      <c r="I35" s="116"/>
      <c r="K35" s="36">
        <f>+E35+G35+G36+G37</f>
        <v>785981</v>
      </c>
      <c r="M35" s="36"/>
      <c r="Q35" s="36">
        <f t="shared" si="5"/>
        <v>785981</v>
      </c>
    </row>
    <row r="36" spans="2:17" x14ac:dyDescent="0.25">
      <c r="C36" s="2" t="s">
        <v>69</v>
      </c>
      <c r="E36" s="36"/>
      <c r="G36" s="117">
        <f>'Sch 6 - Exp Adj'!I77</f>
        <v>108526</v>
      </c>
      <c r="I36" s="116" t="s">
        <v>211</v>
      </c>
      <c r="K36" s="36"/>
      <c r="M36" s="36"/>
      <c r="Q36" s="36"/>
    </row>
    <row r="37" spans="2:17" x14ac:dyDescent="0.25">
      <c r="C37" s="2" t="s">
        <v>212</v>
      </c>
      <c r="E37" s="36"/>
      <c r="G37" s="117">
        <f>'Sch 6 - Exp Adj'!I86</f>
        <v>12600</v>
      </c>
      <c r="I37" s="116" t="s">
        <v>213</v>
      </c>
      <c r="K37" s="36"/>
      <c r="M37" s="36"/>
      <c r="Q37" s="36"/>
    </row>
    <row r="38" spans="2:17" x14ac:dyDescent="0.25">
      <c r="B38" s="2" t="s">
        <v>170</v>
      </c>
      <c r="E38" s="36"/>
      <c r="G38" s="117"/>
      <c r="K38" s="36"/>
      <c r="M38" s="36"/>
      <c r="Q38" s="36"/>
    </row>
    <row r="39" spans="2:17" x14ac:dyDescent="0.25">
      <c r="C39" s="2" t="s">
        <v>171</v>
      </c>
      <c r="E39" s="36">
        <f>'Sch 3 - IS'!E36</f>
        <v>120007</v>
      </c>
      <c r="G39" s="117"/>
      <c r="K39" s="36">
        <f t="shared" ref="K39:K58" si="6">+E39+G39</f>
        <v>120007</v>
      </c>
      <c r="M39" s="36"/>
      <c r="Q39" s="36">
        <f t="shared" si="5"/>
        <v>120007</v>
      </c>
    </row>
    <row r="40" spans="2:17" x14ac:dyDescent="0.25">
      <c r="C40" s="2" t="s">
        <v>172</v>
      </c>
      <c r="E40" s="36">
        <f>'Sch 3 - IS'!E37</f>
        <v>38986</v>
      </c>
      <c r="G40" s="117"/>
      <c r="K40" s="36">
        <f t="shared" si="6"/>
        <v>38986</v>
      </c>
      <c r="M40" s="36"/>
      <c r="Q40" s="36">
        <f t="shared" si="5"/>
        <v>38986</v>
      </c>
    </row>
    <row r="41" spans="2:17" x14ac:dyDescent="0.25">
      <c r="C41" s="2" t="s">
        <v>173</v>
      </c>
      <c r="E41" s="36">
        <f>'Sch 3 - IS'!E38</f>
        <v>56016</v>
      </c>
      <c r="K41" s="36">
        <f>+E41+G42+G43</f>
        <v>31623</v>
      </c>
      <c r="M41" s="36"/>
      <c r="Q41" s="36">
        <f t="shared" si="5"/>
        <v>31623</v>
      </c>
    </row>
    <row r="42" spans="2:17" x14ac:dyDescent="0.25">
      <c r="C42" s="2" t="s">
        <v>214</v>
      </c>
      <c r="E42" s="36"/>
      <c r="G42" s="117">
        <f>'Sch 6 - Exp Adj'!I105</f>
        <v>-18891</v>
      </c>
      <c r="I42" s="116" t="s">
        <v>215</v>
      </c>
      <c r="K42" s="36"/>
      <c r="M42" s="36"/>
      <c r="Q42" s="36"/>
    </row>
    <row r="43" spans="2:17" x14ac:dyDescent="0.25">
      <c r="C43" s="2" t="s">
        <v>216</v>
      </c>
      <c r="E43" s="36"/>
      <c r="G43" s="117">
        <f>'Sch 6 - Exp Adj'!I114</f>
        <v>-5502</v>
      </c>
      <c r="I43" s="116" t="s">
        <v>217</v>
      </c>
      <c r="K43" s="36"/>
      <c r="M43" s="36"/>
      <c r="Q43" s="36"/>
    </row>
    <row r="44" spans="2:17" x14ac:dyDescent="0.25">
      <c r="C44" s="2" t="s">
        <v>174</v>
      </c>
      <c r="E44" s="36">
        <f>'Sch 3 - IS'!E39</f>
        <v>61</v>
      </c>
      <c r="G44" s="117"/>
      <c r="K44" s="36">
        <f t="shared" si="6"/>
        <v>61</v>
      </c>
      <c r="M44" s="36"/>
      <c r="Q44" s="36">
        <f t="shared" si="5"/>
        <v>61</v>
      </c>
    </row>
    <row r="45" spans="2:17" x14ac:dyDescent="0.25">
      <c r="C45" s="2" t="s">
        <v>74</v>
      </c>
      <c r="E45" s="36">
        <f>'Sch 3 - IS'!E40</f>
        <v>7385</v>
      </c>
      <c r="G45" s="117"/>
      <c r="K45" s="36">
        <f t="shared" si="6"/>
        <v>7385</v>
      </c>
      <c r="M45" s="36"/>
      <c r="Q45" s="36">
        <f t="shared" si="5"/>
        <v>7385</v>
      </c>
    </row>
    <row r="46" spans="2:17" x14ac:dyDescent="0.25">
      <c r="B46" s="2" t="s">
        <v>175</v>
      </c>
      <c r="E46" s="36">
        <f>'Sch 3 - IS'!E41</f>
        <v>46527</v>
      </c>
      <c r="G46" s="117"/>
      <c r="K46" s="36">
        <f t="shared" si="6"/>
        <v>46527</v>
      </c>
      <c r="M46" s="36"/>
      <c r="Q46" s="36">
        <f t="shared" si="5"/>
        <v>46527</v>
      </c>
    </row>
    <row r="47" spans="2:17" x14ac:dyDescent="0.25">
      <c r="B47" s="2" t="s">
        <v>71</v>
      </c>
      <c r="E47" s="36"/>
      <c r="G47" s="117"/>
      <c r="K47" s="36"/>
      <c r="M47" s="36"/>
      <c r="Q47" s="36"/>
    </row>
    <row r="48" spans="2:17" x14ac:dyDescent="0.25">
      <c r="C48" s="2" t="s">
        <v>72</v>
      </c>
      <c r="E48" s="36">
        <f>'Sch 3 - IS'!E43</f>
        <v>10444</v>
      </c>
      <c r="G48" s="117">
        <f>9895-E48</f>
        <v>-549</v>
      </c>
      <c r="I48" s="116" t="s">
        <v>206</v>
      </c>
      <c r="K48" s="36">
        <f t="shared" si="6"/>
        <v>9895</v>
      </c>
      <c r="M48" s="36"/>
      <c r="Q48" s="36">
        <f t="shared" si="5"/>
        <v>9895</v>
      </c>
    </row>
    <row r="49" spans="1:20" x14ac:dyDescent="0.25">
      <c r="C49" s="2" t="s">
        <v>176</v>
      </c>
      <c r="E49" s="36">
        <f>'Sch 3 - IS'!E44</f>
        <v>0</v>
      </c>
      <c r="G49" s="117"/>
      <c r="K49" s="36">
        <f t="shared" si="6"/>
        <v>0</v>
      </c>
      <c r="M49" s="36"/>
      <c r="Q49" s="36">
        <f t="shared" si="5"/>
        <v>0</v>
      </c>
    </row>
    <row r="50" spans="1:20" x14ac:dyDescent="0.25">
      <c r="C50" s="2" t="s">
        <v>73</v>
      </c>
      <c r="E50" s="36">
        <f>'Sch 3 - IS'!E45</f>
        <v>11047</v>
      </c>
      <c r="G50" s="7">
        <f>6915-E50</f>
        <v>-4132</v>
      </c>
      <c r="I50" s="116" t="s">
        <v>206</v>
      </c>
      <c r="K50" s="36">
        <f t="shared" si="6"/>
        <v>6915</v>
      </c>
      <c r="M50" s="36"/>
      <c r="Q50" s="36">
        <f t="shared" si="5"/>
        <v>6915</v>
      </c>
    </row>
    <row r="51" spans="1:20" x14ac:dyDescent="0.25">
      <c r="C51" s="2" t="s">
        <v>74</v>
      </c>
      <c r="E51" s="36">
        <f>'Sch 3 - IS'!E46</f>
        <v>45186</v>
      </c>
      <c r="G51" s="7">
        <f>17060+9736+5846-E51</f>
        <v>-12544</v>
      </c>
      <c r="I51" s="116" t="s">
        <v>206</v>
      </c>
      <c r="K51" s="36">
        <f t="shared" si="6"/>
        <v>32642</v>
      </c>
      <c r="M51" s="36"/>
      <c r="Q51" s="36">
        <f t="shared" si="5"/>
        <v>32642</v>
      </c>
    </row>
    <row r="52" spans="1:20" x14ac:dyDescent="0.25">
      <c r="B52" s="2" t="s">
        <v>177</v>
      </c>
      <c r="E52" s="36">
        <f>'Sch 3 - IS'!E47</f>
        <v>3785</v>
      </c>
      <c r="G52" s="36">
        <f>'Sch 6 - Exp Adj'!I138</f>
        <v>340</v>
      </c>
      <c r="I52" s="116" t="s">
        <v>218</v>
      </c>
      <c r="K52" s="36">
        <f>+G52+E52</f>
        <v>4125</v>
      </c>
      <c r="M52" s="36">
        <f>+'Sch 1'!E31</f>
        <v>1738.6400000001304</v>
      </c>
      <c r="O52" s="1">
        <v>1</v>
      </c>
      <c r="Q52" s="36">
        <f t="shared" si="5"/>
        <v>5863.6400000001304</v>
      </c>
    </row>
    <row r="53" spans="1:20" x14ac:dyDescent="0.25">
      <c r="B53" s="2" t="s">
        <v>75</v>
      </c>
      <c r="E53" s="36">
        <v>0</v>
      </c>
      <c r="G53" s="36">
        <f>'Sch 6 - Exp Adj'!I127</f>
        <v>15000</v>
      </c>
      <c r="I53" s="116" t="s">
        <v>219</v>
      </c>
      <c r="K53" s="36">
        <f t="shared" si="6"/>
        <v>15000</v>
      </c>
      <c r="M53" s="36"/>
      <c r="Q53" s="36">
        <f t="shared" si="5"/>
        <v>15000</v>
      </c>
    </row>
    <row r="54" spans="1:20" x14ac:dyDescent="0.25">
      <c r="B54" s="2" t="s">
        <v>178</v>
      </c>
      <c r="E54" s="36">
        <f>'Sch 3 - IS'!E48</f>
        <v>13242</v>
      </c>
      <c r="G54" s="36"/>
      <c r="K54" s="36">
        <f t="shared" si="6"/>
        <v>13242</v>
      </c>
      <c r="M54" s="36">
        <f>+'Sch 1'!E32</f>
        <v>5814.6400000001304</v>
      </c>
      <c r="O54" s="1">
        <v>1</v>
      </c>
      <c r="Q54" s="36">
        <f t="shared" si="5"/>
        <v>19056.64000000013</v>
      </c>
      <c r="T54" s="125"/>
    </row>
    <row r="55" spans="1:20" x14ac:dyDescent="0.25">
      <c r="B55" s="2" t="s">
        <v>179</v>
      </c>
      <c r="E55" s="36">
        <f>'Sch 3 - IS'!E49</f>
        <v>36</v>
      </c>
      <c r="G55" s="36"/>
      <c r="I55" s="116"/>
      <c r="K55" s="36">
        <f t="shared" si="6"/>
        <v>36</v>
      </c>
      <c r="Q55" s="36">
        <f>+K55+M55</f>
        <v>36</v>
      </c>
      <c r="R55" s="54"/>
      <c r="S55" s="2" t="s">
        <v>220</v>
      </c>
      <c r="T55" s="7"/>
    </row>
    <row r="56" spans="1:20" x14ac:dyDescent="0.25">
      <c r="B56" s="102" t="s">
        <v>221</v>
      </c>
      <c r="E56" s="36">
        <v>0</v>
      </c>
      <c r="G56" s="36">
        <v>3277</v>
      </c>
      <c r="I56" s="116" t="s">
        <v>206</v>
      </c>
      <c r="K56" s="36">
        <f t="shared" si="6"/>
        <v>3277</v>
      </c>
      <c r="M56" s="36"/>
      <c r="Q56" s="36">
        <f t="shared" ref="Q56:Q58" si="7">+K56+M56</f>
        <v>3277</v>
      </c>
      <c r="R56" s="54"/>
    </row>
    <row r="57" spans="1:20" x14ac:dyDescent="0.25">
      <c r="B57" s="102" t="s">
        <v>222</v>
      </c>
      <c r="E57" s="36">
        <v>0</v>
      </c>
      <c r="G57" s="36">
        <v>2583</v>
      </c>
      <c r="I57" s="116" t="s">
        <v>206</v>
      </c>
      <c r="K57" s="36">
        <f t="shared" si="6"/>
        <v>2583</v>
      </c>
      <c r="M57" s="36"/>
      <c r="Q57" s="36">
        <f t="shared" si="7"/>
        <v>2583</v>
      </c>
      <c r="R57" s="54"/>
    </row>
    <row r="58" spans="1:20" x14ac:dyDescent="0.25">
      <c r="B58" s="102" t="s">
        <v>78</v>
      </c>
      <c r="E58" s="36">
        <v>0</v>
      </c>
      <c r="G58" s="36">
        <f>'Sch 6 - Exp Adj'!I164</f>
        <v>3563</v>
      </c>
      <c r="I58" s="116" t="s">
        <v>223</v>
      </c>
      <c r="K58" s="36">
        <f t="shared" si="6"/>
        <v>3563</v>
      </c>
      <c r="M58" s="36"/>
      <c r="Q58" s="36">
        <f t="shared" si="7"/>
        <v>3563</v>
      </c>
      <c r="R58" s="54"/>
    </row>
    <row r="59" spans="1:20" x14ac:dyDescent="0.25">
      <c r="E59" s="36"/>
      <c r="G59" s="36"/>
      <c r="K59" s="36"/>
      <c r="M59" s="36"/>
      <c r="Q59" s="36"/>
    </row>
    <row r="60" spans="1:20" x14ac:dyDescent="0.25">
      <c r="A60" s="2" t="s">
        <v>181</v>
      </c>
      <c r="E60" s="36">
        <f>+'Sch 3 - IS'!E63</f>
        <v>524161</v>
      </c>
      <c r="G60" s="36"/>
      <c r="K60" s="36">
        <f>+E60+G60</f>
        <v>524161</v>
      </c>
      <c r="M60" s="36"/>
      <c r="Q60" s="36">
        <f>+K60+M60</f>
        <v>524161</v>
      </c>
    </row>
    <row r="61" spans="1:20" hidden="1" x14ac:dyDescent="0.25">
      <c r="A61" s="2" t="s">
        <v>79</v>
      </c>
      <c r="E61" s="36"/>
      <c r="G61" s="36">
        <v>0</v>
      </c>
      <c r="I61" s="116"/>
      <c r="K61" s="36">
        <f>+E61+G61</f>
        <v>0</v>
      </c>
      <c r="M61" s="36"/>
      <c r="Q61" s="36">
        <f>+K61+M61</f>
        <v>0</v>
      </c>
    </row>
    <row r="62" spans="1:20" hidden="1" x14ac:dyDescent="0.25">
      <c r="A62" s="2" t="s">
        <v>182</v>
      </c>
      <c r="E62" s="36"/>
      <c r="G62" s="36"/>
      <c r="K62" s="36"/>
      <c r="M62" s="36"/>
      <c r="Q62" s="36"/>
    </row>
    <row r="63" spans="1:20" x14ac:dyDescent="0.25">
      <c r="B63" s="2" t="s">
        <v>80</v>
      </c>
      <c r="E63" s="36">
        <f>'Sch 3 - IS'!E66</f>
        <v>56307</v>
      </c>
      <c r="G63" s="36">
        <f>'Sch 6 - Exp Adj'!I181</f>
        <v>278</v>
      </c>
      <c r="I63" s="116" t="s">
        <v>224</v>
      </c>
      <c r="K63" s="36">
        <f t="shared" ref="K63" si="8">+E63+G63</f>
        <v>56585</v>
      </c>
      <c r="M63" s="36"/>
      <c r="Q63" s="36">
        <f t="shared" ref="Q63" si="9">+K63+M63</f>
        <v>56585</v>
      </c>
    </row>
    <row r="64" spans="1:20" x14ac:dyDescent="0.25">
      <c r="E64" s="36"/>
      <c r="G64" s="36"/>
      <c r="K64" s="36"/>
      <c r="M64" s="36"/>
      <c r="Q64" s="36"/>
    </row>
    <row r="65" spans="1:19" x14ac:dyDescent="0.25">
      <c r="C65" s="2" t="s">
        <v>81</v>
      </c>
      <c r="E65" s="41">
        <f>SUM(E30:E64)</f>
        <v>3014214</v>
      </c>
      <c r="G65" s="41">
        <f>SUM(G30:G64)</f>
        <v>237699</v>
      </c>
      <c r="K65" s="41">
        <f>SUM(K29:K64)</f>
        <v>3251913</v>
      </c>
      <c r="M65" s="41">
        <f>SUM(M30:M64)</f>
        <v>7553.2800000002608</v>
      </c>
      <c r="Q65" s="41">
        <f>SUM(Q29:Q64)</f>
        <v>3259466.2800000003</v>
      </c>
      <c r="S65" s="7">
        <f>E65-'Sch 3 - IS'!E67</f>
        <v>0</v>
      </c>
    </row>
    <row r="66" spans="1:19" x14ac:dyDescent="0.25">
      <c r="E66" s="36"/>
      <c r="G66" s="36"/>
      <c r="K66" s="36"/>
      <c r="M66" s="36"/>
      <c r="Q66" s="36"/>
    </row>
    <row r="67" spans="1:19" ht="16.5" thickBot="1" x14ac:dyDescent="0.3">
      <c r="A67" s="2" t="s">
        <v>83</v>
      </c>
      <c r="E67" s="86">
        <f>+E27-E65</f>
        <v>-296730</v>
      </c>
      <c r="G67" s="86">
        <f>+G27-G65</f>
        <v>-205371</v>
      </c>
      <c r="K67" s="86">
        <f>+K27-K65</f>
        <v>-502101</v>
      </c>
      <c r="M67" s="86">
        <f>+M27-M65</f>
        <v>1157082.3599999999</v>
      </c>
      <c r="Q67" s="86">
        <f>+Q27-Q65</f>
        <v>654981.35999999987</v>
      </c>
      <c r="S67" s="55">
        <f>E67-'Sch 3 - IS'!E69</f>
        <v>0</v>
      </c>
    </row>
    <row r="68" spans="1:19" ht="16.5" thickTop="1" x14ac:dyDescent="0.25">
      <c r="E68" s="36"/>
      <c r="G68" s="36"/>
      <c r="K68" s="36"/>
      <c r="M68" s="36"/>
      <c r="Q68" s="36"/>
    </row>
    <row r="69" spans="1:19" ht="16.5" thickBot="1" x14ac:dyDescent="0.3">
      <c r="E69" s="5"/>
      <c r="G69" s="5"/>
      <c r="K69" s="5"/>
      <c r="M69" s="5"/>
      <c r="Q69" s="5"/>
    </row>
    <row r="70" spans="1:19" x14ac:dyDescent="0.25">
      <c r="G70" s="5"/>
      <c r="K70" s="104" t="s">
        <v>225</v>
      </c>
      <c r="L70" s="11"/>
      <c r="M70" s="11"/>
      <c r="N70" s="12"/>
      <c r="O70" s="12"/>
      <c r="P70" s="11"/>
      <c r="Q70" s="105"/>
    </row>
    <row r="71" spans="1:19" x14ac:dyDescent="0.25">
      <c r="G71" s="5"/>
      <c r="K71" s="64" t="s">
        <v>226</v>
      </c>
      <c r="N71" s="1"/>
      <c r="Q71" s="106">
        <f>+Q67</f>
        <v>654981.35999999987</v>
      </c>
      <c r="R71" s="53"/>
    </row>
    <row r="72" spans="1:19" x14ac:dyDescent="0.25">
      <c r="G72" s="5"/>
      <c r="K72" s="64" t="s">
        <v>227</v>
      </c>
      <c r="N72" s="1"/>
      <c r="Q72" s="107"/>
      <c r="R72" s="53"/>
    </row>
    <row r="73" spans="1:19" x14ac:dyDescent="0.25">
      <c r="G73" s="5"/>
      <c r="K73" s="64" t="s">
        <v>228</v>
      </c>
      <c r="N73" s="1"/>
      <c r="Q73" s="107">
        <f>+E60</f>
        <v>524161</v>
      </c>
    </row>
    <row r="74" spans="1:19" x14ac:dyDescent="0.25">
      <c r="G74" s="5"/>
      <c r="K74" s="64" t="s">
        <v>229</v>
      </c>
      <c r="N74" s="1"/>
      <c r="Q74" s="107">
        <v>0</v>
      </c>
    </row>
    <row r="75" spans="1:19" x14ac:dyDescent="0.25">
      <c r="G75" s="5"/>
      <c r="K75" s="64" t="s">
        <v>230</v>
      </c>
      <c r="N75" s="1"/>
      <c r="Q75" s="107">
        <f>-'Sch 1'!E21-'Sch 1'!E23</f>
        <v>33649</v>
      </c>
      <c r="S75" s="7"/>
    </row>
    <row r="76" spans="1:19" x14ac:dyDescent="0.25">
      <c r="G76" s="5"/>
      <c r="K76" s="64" t="s">
        <v>231</v>
      </c>
      <c r="N76" s="1"/>
      <c r="Q76" s="107"/>
    </row>
    <row r="77" spans="1:19" x14ac:dyDescent="0.25">
      <c r="G77" s="5"/>
      <c r="K77" s="64" t="s">
        <v>232</v>
      </c>
      <c r="N77" s="1"/>
      <c r="Q77" s="107">
        <f>-'Sch 1'!E15</f>
        <v>-697250</v>
      </c>
    </row>
    <row r="78" spans="1:19" x14ac:dyDescent="0.25">
      <c r="G78" s="5"/>
      <c r="K78" s="64" t="s">
        <v>233</v>
      </c>
      <c r="N78" s="1"/>
      <c r="Q78" s="107">
        <f>-'Sch 1'!E17</f>
        <v>-515541.36</v>
      </c>
    </row>
    <row r="79" spans="1:19" x14ac:dyDescent="0.25">
      <c r="G79" s="5"/>
      <c r="K79" s="64" t="s">
        <v>234</v>
      </c>
      <c r="L79" s="108"/>
      <c r="N79" s="1"/>
      <c r="Q79" s="107">
        <f>-'Sch 1'!E18</f>
        <v>0</v>
      </c>
    </row>
    <row r="80" spans="1:19" x14ac:dyDescent="0.25">
      <c r="G80" s="5"/>
      <c r="K80" s="64"/>
      <c r="L80" s="108"/>
      <c r="N80" s="1"/>
      <c r="Q80" s="107"/>
    </row>
    <row r="81" spans="7:18" ht="16.5" thickBot="1" x14ac:dyDescent="0.3">
      <c r="G81" s="5"/>
      <c r="K81" s="64" t="s">
        <v>235</v>
      </c>
      <c r="L81" s="108"/>
      <c r="N81" s="1"/>
      <c r="Q81" s="157">
        <f>SUM(Q71:Q80)</f>
        <v>-1.1641532182693481E-10</v>
      </c>
    </row>
    <row r="82" spans="7:18" ht="17.25" thickTop="1" thickBot="1" x14ac:dyDescent="0.3">
      <c r="G82" s="5"/>
      <c r="K82" s="13"/>
      <c r="L82" s="109"/>
      <c r="M82" s="14"/>
      <c r="N82" s="15"/>
      <c r="O82" s="15"/>
      <c r="P82" s="14"/>
      <c r="Q82" s="110"/>
    </row>
    <row r="83" spans="7:18" x14ac:dyDescent="0.25">
      <c r="G83" s="5"/>
      <c r="K83" s="5"/>
      <c r="M83" s="5"/>
      <c r="Q83" s="5"/>
    </row>
    <row r="84" spans="7:18" ht="16.5" thickBot="1" x14ac:dyDescent="0.3">
      <c r="G84" s="5"/>
      <c r="K84" s="5"/>
      <c r="M84" s="5"/>
      <c r="Q84" s="5"/>
    </row>
    <row r="85" spans="7:18" x14ac:dyDescent="0.25">
      <c r="G85" s="5"/>
      <c r="K85" s="104" t="s">
        <v>225</v>
      </c>
      <c r="L85" s="11"/>
      <c r="M85" s="111"/>
      <c r="N85" s="11"/>
      <c r="O85" s="12"/>
      <c r="P85" s="11"/>
      <c r="Q85" s="105"/>
    </row>
    <row r="86" spans="7:18" x14ac:dyDescent="0.25">
      <c r="G86" s="5"/>
      <c r="K86" s="64" t="s">
        <v>236</v>
      </c>
      <c r="M86" s="108"/>
      <c r="Q86" s="107">
        <f>'Sch 1'!E15-'Sch 4'!Q60</f>
        <v>173089</v>
      </c>
    </row>
    <row r="87" spans="7:18" x14ac:dyDescent="0.25">
      <c r="G87" s="5"/>
      <c r="K87" s="64" t="s">
        <v>41</v>
      </c>
      <c r="M87" s="108"/>
      <c r="Q87" s="107">
        <f>'Sch 1'!E17</f>
        <v>515541.36</v>
      </c>
    </row>
    <row r="88" spans="7:18" x14ac:dyDescent="0.25">
      <c r="G88" s="5"/>
      <c r="K88" s="64" t="s">
        <v>42</v>
      </c>
      <c r="M88" s="108"/>
      <c r="Q88" s="107">
        <v>0</v>
      </c>
    </row>
    <row r="89" spans="7:18" x14ac:dyDescent="0.25">
      <c r="G89" s="5"/>
      <c r="K89" s="64"/>
      <c r="M89" s="108"/>
      <c r="Q89" s="107"/>
      <c r="R89" s="7"/>
    </row>
    <row r="90" spans="7:18" x14ac:dyDescent="0.25">
      <c r="G90" s="5"/>
      <c r="K90" s="64" t="s">
        <v>237</v>
      </c>
      <c r="M90" s="108"/>
      <c r="Q90" s="107">
        <v>0</v>
      </c>
    </row>
    <row r="91" spans="7:18" x14ac:dyDescent="0.25">
      <c r="G91" s="5"/>
      <c r="K91" s="64" t="s">
        <v>238</v>
      </c>
      <c r="M91" s="108"/>
      <c r="Q91" s="112">
        <f>'Sch 1'!E21+'Sch 1'!E23</f>
        <v>-33649</v>
      </c>
    </row>
    <row r="92" spans="7:18" x14ac:dyDescent="0.25">
      <c r="G92" s="5"/>
      <c r="K92" s="64"/>
      <c r="M92" s="108"/>
      <c r="Q92" s="107">
        <f>SUM(Q86:Q91)</f>
        <v>654981.36</v>
      </c>
    </row>
    <row r="93" spans="7:18" x14ac:dyDescent="0.25">
      <c r="G93" s="5"/>
      <c r="K93" s="64" t="s">
        <v>239</v>
      </c>
      <c r="M93" s="108"/>
      <c r="Q93" s="112">
        <f>Q67</f>
        <v>654981.35999999987</v>
      </c>
    </row>
    <row r="94" spans="7:18" ht="16.5" thickBot="1" x14ac:dyDescent="0.3">
      <c r="G94" s="5"/>
      <c r="K94" s="113" t="s">
        <v>240</v>
      </c>
      <c r="L94" s="14"/>
      <c r="M94" s="109"/>
      <c r="N94" s="14"/>
      <c r="O94" s="15"/>
      <c r="P94" s="14"/>
      <c r="Q94" s="110">
        <f>Q92-Q93</f>
        <v>0</v>
      </c>
    </row>
    <row r="95" spans="7:18" x14ac:dyDescent="0.25">
      <c r="G95" s="5"/>
      <c r="K95" s="5"/>
      <c r="M95" s="5"/>
      <c r="Q95" s="5"/>
    </row>
    <row r="96" spans="7:18" x14ac:dyDescent="0.25">
      <c r="G96" s="5"/>
      <c r="K96" s="5"/>
      <c r="M96" s="5"/>
      <c r="Q96" s="5"/>
    </row>
    <row r="97" spans="7:17" x14ac:dyDescent="0.25">
      <c r="G97" s="5"/>
      <c r="K97" s="5"/>
      <c r="M97" s="5"/>
      <c r="Q97" s="5"/>
    </row>
    <row r="98" spans="7:17" x14ac:dyDescent="0.25">
      <c r="G98" s="5"/>
      <c r="K98" s="5"/>
      <c r="M98" s="5"/>
      <c r="Q98" s="5"/>
    </row>
    <row r="99" spans="7:17" x14ac:dyDescent="0.25">
      <c r="G99" s="5"/>
      <c r="K99" s="5"/>
      <c r="M99" s="5"/>
      <c r="Q99" s="5"/>
    </row>
    <row r="100" spans="7:17" x14ac:dyDescent="0.25">
      <c r="G100" s="5"/>
      <c r="K100" s="5"/>
      <c r="M100" s="5"/>
      <c r="Q100" s="5"/>
    </row>
    <row r="101" spans="7:17" x14ac:dyDescent="0.25">
      <c r="K101" s="5"/>
      <c r="M101" s="5"/>
      <c r="Q101" s="5"/>
    </row>
    <row r="102" spans="7:17" x14ac:dyDescent="0.25">
      <c r="K102" s="5"/>
      <c r="M102" s="5"/>
      <c r="Q102" s="5"/>
    </row>
    <row r="103" spans="7:17" x14ac:dyDescent="0.25">
      <c r="K103" s="5"/>
      <c r="M103" s="5"/>
      <c r="Q103" s="5"/>
    </row>
    <row r="104" spans="7:17" x14ac:dyDescent="0.25">
      <c r="K104" s="5"/>
      <c r="M104" s="5"/>
      <c r="Q104" s="5"/>
    </row>
    <row r="105" spans="7:17" x14ac:dyDescent="0.25">
      <c r="K105" s="5"/>
      <c r="M105" s="5"/>
      <c r="Q105" s="5"/>
    </row>
    <row r="106" spans="7:17" x14ac:dyDescent="0.25">
      <c r="K106" s="5"/>
      <c r="M106" s="5"/>
      <c r="Q106" s="5"/>
    </row>
    <row r="107" spans="7:17" x14ac:dyDescent="0.25">
      <c r="K107" s="5"/>
      <c r="M107" s="5"/>
      <c r="Q107" s="5"/>
    </row>
    <row r="108" spans="7:17" x14ac:dyDescent="0.25">
      <c r="K108" s="5"/>
      <c r="M108" s="5"/>
      <c r="Q108" s="5"/>
    </row>
    <row r="109" spans="7:17" x14ac:dyDescent="0.25">
      <c r="K109" s="5"/>
      <c r="M109" s="5"/>
      <c r="Q109" s="5"/>
    </row>
    <row r="110" spans="7:17" x14ac:dyDescent="0.25">
      <c r="K110" s="5"/>
      <c r="M110" s="5"/>
      <c r="Q110" s="5"/>
    </row>
    <row r="111" spans="7:17" x14ac:dyDescent="0.25">
      <c r="K111" s="5"/>
      <c r="M111" s="5"/>
      <c r="Q111" s="5"/>
    </row>
    <row r="112" spans="7:17" x14ac:dyDescent="0.25">
      <c r="K112" s="5"/>
      <c r="M112" s="5"/>
      <c r="Q112" s="5"/>
    </row>
    <row r="113" spans="11:17" x14ac:dyDescent="0.25">
      <c r="K113" s="5"/>
      <c r="M113" s="5"/>
      <c r="Q113" s="5"/>
    </row>
    <row r="114" spans="11:17" x14ac:dyDescent="0.25">
      <c r="K114" s="5"/>
      <c r="M114" s="5"/>
      <c r="Q114" s="5"/>
    </row>
    <row r="115" spans="11:17" x14ac:dyDescent="0.25">
      <c r="K115" s="5"/>
    </row>
    <row r="116" spans="11:17" x14ac:dyDescent="0.25">
      <c r="K116" s="5"/>
    </row>
    <row r="117" spans="11:17" x14ac:dyDescent="0.25">
      <c r="K117" s="5"/>
    </row>
    <row r="118" spans="11:17" x14ac:dyDescent="0.25">
      <c r="K118" s="5"/>
    </row>
    <row r="119" spans="11:17" x14ac:dyDescent="0.25">
      <c r="K119" s="5"/>
    </row>
    <row r="120" spans="11:17" x14ac:dyDescent="0.25">
      <c r="K120" s="5"/>
    </row>
    <row r="121" spans="11:17" x14ac:dyDescent="0.25">
      <c r="K121" s="5"/>
    </row>
    <row r="122" spans="11:17" x14ac:dyDescent="0.25">
      <c r="K122" s="5"/>
    </row>
    <row r="123" spans="11:17" x14ac:dyDescent="0.25">
      <c r="K123" s="5"/>
    </row>
    <row r="124" spans="11:17" x14ac:dyDescent="0.25">
      <c r="K124" s="5"/>
    </row>
    <row r="125" spans="11:17" x14ac:dyDescent="0.25">
      <c r="K125" s="5"/>
    </row>
    <row r="126" spans="11:17" x14ac:dyDescent="0.25">
      <c r="K126" s="5"/>
    </row>
    <row r="127" spans="11:17" x14ac:dyDescent="0.25">
      <c r="K127" s="5"/>
    </row>
    <row r="128" spans="11:17" x14ac:dyDescent="0.25">
      <c r="K128" s="5"/>
    </row>
  </sheetData>
  <mergeCells count="3">
    <mergeCell ref="A4:Q4"/>
    <mergeCell ref="A5:Q5"/>
    <mergeCell ref="A7:Q7"/>
  </mergeCells>
  <phoneticPr fontId="7" type="noConversion"/>
  <printOptions horizontalCentered="1"/>
  <pageMargins left="0.5" right="0.5" top="0.5" bottom="0.75" header="0.5" footer="0.5"/>
  <pageSetup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24"/>
    <pageSetUpPr fitToPage="1"/>
  </sheetPr>
  <dimension ref="A1:K80"/>
  <sheetViews>
    <sheetView view="pageBreakPreview" zoomScaleNormal="125" zoomScaleSheetLayoutView="100" workbookViewId="0"/>
  </sheetViews>
  <sheetFormatPr defaultRowHeight="15.75" x14ac:dyDescent="0.25"/>
  <cols>
    <col min="3" max="3" width="10.125" bestFit="1" customWidth="1"/>
    <col min="4" max="4" width="13.625" bestFit="1" customWidth="1"/>
    <col min="5" max="5" width="10.375" bestFit="1" customWidth="1"/>
    <col min="6" max="6" width="12.625" bestFit="1" customWidth="1"/>
    <col min="8" max="8" width="11.625" customWidth="1"/>
    <col min="9" max="9" width="11.125" bestFit="1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16" t="str">
        <f>+'Sch 1'!I1</f>
        <v>OUCC</v>
      </c>
    </row>
    <row r="2" spans="1:9" x14ac:dyDescent="0.25">
      <c r="A2" s="2"/>
      <c r="B2" s="2"/>
      <c r="C2" s="2"/>
      <c r="D2" s="2"/>
      <c r="E2" s="2"/>
      <c r="F2" s="2"/>
      <c r="G2" s="2"/>
      <c r="H2" s="2"/>
      <c r="I2" s="16" t="s">
        <v>241</v>
      </c>
    </row>
    <row r="3" spans="1:9" x14ac:dyDescent="0.25">
      <c r="A3" s="2"/>
      <c r="B3" s="2"/>
      <c r="C3" s="2"/>
      <c r="D3" s="2"/>
      <c r="E3" s="2"/>
      <c r="F3" s="2"/>
      <c r="G3" s="2"/>
      <c r="H3" s="2"/>
      <c r="I3" s="16" t="s">
        <v>29</v>
      </c>
    </row>
    <row r="4" spans="1:9" ht="20.25" x14ac:dyDescent="0.3">
      <c r="A4" s="221" t="str">
        <f>+Inputs!$C$5</f>
        <v>Eastern Heights Utilities, Inc.</v>
      </c>
      <c r="B4" s="221"/>
      <c r="C4" s="221"/>
      <c r="D4" s="221"/>
      <c r="E4" s="221"/>
      <c r="F4" s="221"/>
      <c r="G4" s="221"/>
      <c r="H4" s="221"/>
      <c r="I4" s="221"/>
    </row>
    <row r="5" spans="1:9" ht="18.75" x14ac:dyDescent="0.3">
      <c r="A5" s="217" t="str">
        <f>"CAUSE NUMBER "&amp;Inputs!$C$6</f>
        <v>CAUSE NUMBER 46084-U</v>
      </c>
      <c r="B5" s="217"/>
      <c r="C5" s="217"/>
      <c r="D5" s="217"/>
      <c r="E5" s="217"/>
      <c r="F5" s="217"/>
      <c r="G5" s="217"/>
      <c r="H5" s="217"/>
      <c r="I5" s="217"/>
    </row>
    <row r="6" spans="1:9" x14ac:dyDescent="0.25">
      <c r="A6" s="201"/>
      <c r="B6" s="201"/>
      <c r="C6" s="201"/>
      <c r="D6" s="201"/>
      <c r="E6" s="201"/>
      <c r="F6" s="201"/>
      <c r="G6" s="201"/>
      <c r="H6" s="201"/>
      <c r="I6" s="201"/>
    </row>
    <row r="7" spans="1:9" x14ac:dyDescent="0.25">
      <c r="A7" s="218" t="s">
        <v>242</v>
      </c>
      <c r="B7" s="218"/>
      <c r="C7" s="218"/>
      <c r="D7" s="218"/>
      <c r="E7" s="218"/>
      <c r="F7" s="218"/>
      <c r="G7" s="218"/>
      <c r="H7" s="218"/>
      <c r="I7" s="218"/>
    </row>
    <row r="9" spans="1:9" x14ac:dyDescent="0.25">
      <c r="A9" s="225" t="s">
        <v>243</v>
      </c>
      <c r="B9" s="225"/>
      <c r="C9" s="225"/>
      <c r="D9" s="225"/>
      <c r="E9" s="225"/>
      <c r="F9" s="225"/>
      <c r="G9" s="225"/>
      <c r="H9" s="225"/>
      <c r="I9" s="225"/>
    </row>
    <row r="10" spans="1:9" x14ac:dyDescent="0.25">
      <c r="A10" s="226" t="s">
        <v>244</v>
      </c>
      <c r="B10" s="226"/>
      <c r="C10" s="226"/>
      <c r="D10" s="226"/>
      <c r="E10" s="226"/>
      <c r="F10" s="226"/>
      <c r="G10" s="226"/>
      <c r="H10" s="226"/>
      <c r="I10" s="226"/>
    </row>
    <row r="11" spans="1:9" x14ac:dyDescent="0.25">
      <c r="A11" s="2" t="s">
        <v>245</v>
      </c>
    </row>
    <row r="12" spans="1:9" x14ac:dyDescent="0.25">
      <c r="A12" s="2"/>
    </row>
    <row r="13" spans="1:9" x14ac:dyDescent="0.25">
      <c r="A13" s="2"/>
      <c r="B13" s="2" t="s">
        <v>246</v>
      </c>
      <c r="F13" s="68">
        <f>C35</f>
        <v>7224</v>
      </c>
    </row>
    <row r="14" spans="1:9" x14ac:dyDescent="0.25">
      <c r="A14" s="2"/>
      <c r="B14" s="2" t="s">
        <v>247</v>
      </c>
      <c r="F14" s="119">
        <v>12</v>
      </c>
    </row>
    <row r="15" spans="1:9" x14ac:dyDescent="0.25">
      <c r="A15" s="2"/>
      <c r="B15" s="2" t="s">
        <v>248</v>
      </c>
      <c r="F15" s="68">
        <f>F13*F14</f>
        <v>86688</v>
      </c>
    </row>
    <row r="16" spans="1:9" x14ac:dyDescent="0.25">
      <c r="A16" s="2"/>
      <c r="B16" s="2" t="s">
        <v>249</v>
      </c>
      <c r="F16" s="119">
        <f>C36</f>
        <v>86135</v>
      </c>
    </row>
    <row r="17" spans="1:11" x14ac:dyDescent="0.25">
      <c r="A17" s="2"/>
      <c r="B17" s="2" t="s">
        <v>250</v>
      </c>
      <c r="D17" s="2"/>
      <c r="F17" s="68">
        <f>F15-F16</f>
        <v>553</v>
      </c>
    </row>
    <row r="18" spans="1:11" x14ac:dyDescent="0.25">
      <c r="B18" t="s">
        <v>251</v>
      </c>
      <c r="F18" s="141">
        <f>H26</f>
        <v>27.23</v>
      </c>
    </row>
    <row r="19" spans="1:11" x14ac:dyDescent="0.25">
      <c r="A19" s="2"/>
      <c r="D19" s="68"/>
      <c r="E19" s="133"/>
    </row>
    <row r="20" spans="1:11" ht="16.5" thickBot="1" x14ac:dyDescent="0.3">
      <c r="A20" s="2"/>
      <c r="E20" s="30" t="s">
        <v>252</v>
      </c>
      <c r="I20" s="45">
        <f>ROUND(F17*F18,0)</f>
        <v>15058</v>
      </c>
    </row>
    <row r="21" spans="1:11" ht="16.5" thickTop="1" x14ac:dyDescent="0.25">
      <c r="A21" s="2"/>
      <c r="E21" s="30"/>
      <c r="I21" s="159"/>
    </row>
    <row r="22" spans="1:11" x14ac:dyDescent="0.25">
      <c r="A22" s="30" t="s">
        <v>253</v>
      </c>
      <c r="E22" s="30"/>
      <c r="I22" s="159"/>
    </row>
    <row r="23" spans="1:11" s="70" customFormat="1" x14ac:dyDescent="0.25">
      <c r="A23" s="158" t="s">
        <v>254</v>
      </c>
      <c r="C23" s="158" t="s">
        <v>255</v>
      </c>
      <c r="I23" s="179"/>
    </row>
    <row r="24" spans="1:11" ht="18.75" x14ac:dyDescent="0.25">
      <c r="A24" s="2" t="s">
        <v>256</v>
      </c>
      <c r="C24" s="40">
        <v>7135</v>
      </c>
      <c r="E24" s="2" t="s">
        <v>257</v>
      </c>
      <c r="H24" s="39">
        <v>2345852</v>
      </c>
      <c r="I24" s="180" t="s">
        <v>258</v>
      </c>
      <c r="K24" s="48"/>
    </row>
    <row r="25" spans="1:11" x14ac:dyDescent="0.25">
      <c r="A25" s="2" t="s">
        <v>259</v>
      </c>
      <c r="C25" s="40">
        <v>7128</v>
      </c>
      <c r="E25" s="2" t="s">
        <v>260</v>
      </c>
      <c r="H25" s="119">
        <f>C36</f>
        <v>86135</v>
      </c>
      <c r="I25" s="40"/>
    </row>
    <row r="26" spans="1:11" ht="16.5" thickBot="1" x14ac:dyDescent="0.3">
      <c r="A26" s="2" t="s">
        <v>261</v>
      </c>
      <c r="C26" s="40">
        <v>7134</v>
      </c>
      <c r="E26" s="2" t="s">
        <v>262</v>
      </c>
      <c r="H26" s="126">
        <f>ROUND(H24/H25,2)</f>
        <v>27.23</v>
      </c>
      <c r="I26" s="40"/>
    </row>
    <row r="27" spans="1:11" ht="16.5" thickTop="1" x14ac:dyDescent="0.25">
      <c r="A27" s="2" t="s">
        <v>263</v>
      </c>
      <c r="C27" s="40">
        <v>7145</v>
      </c>
      <c r="E27" s="68"/>
      <c r="I27" s="40"/>
    </row>
    <row r="28" spans="1:11" x14ac:dyDescent="0.25">
      <c r="A28" s="2" t="s">
        <v>264</v>
      </c>
      <c r="C28" s="40">
        <v>7145</v>
      </c>
      <c r="E28" s="68"/>
      <c r="I28" s="40"/>
    </row>
    <row r="29" spans="1:11" x14ac:dyDescent="0.25">
      <c r="A29" s="2" t="s">
        <v>265</v>
      </c>
      <c r="C29" s="40">
        <v>7166</v>
      </c>
      <c r="E29" s="68"/>
      <c r="I29" s="40"/>
    </row>
    <row r="30" spans="1:11" x14ac:dyDescent="0.25">
      <c r="A30" s="2" t="s">
        <v>266</v>
      </c>
      <c r="C30" s="40">
        <v>7178</v>
      </c>
      <c r="E30" s="227" t="s">
        <v>267</v>
      </c>
      <c r="F30" s="227"/>
      <c r="G30" s="227"/>
      <c r="H30" s="227"/>
      <c r="I30" s="227"/>
    </row>
    <row r="31" spans="1:11" x14ac:dyDescent="0.25">
      <c r="A31" s="2" t="s">
        <v>268</v>
      </c>
      <c r="C31" s="40">
        <v>7219</v>
      </c>
      <c r="E31" s="227"/>
      <c r="F31" s="227"/>
      <c r="G31" s="227"/>
      <c r="H31" s="227"/>
      <c r="I31" s="227"/>
    </row>
    <row r="32" spans="1:11" x14ac:dyDescent="0.25">
      <c r="A32" s="2" t="s">
        <v>269</v>
      </c>
      <c r="C32" s="40">
        <v>7224</v>
      </c>
      <c r="E32" s="68"/>
      <c r="I32" s="40"/>
    </row>
    <row r="33" spans="1:9" x14ac:dyDescent="0.25">
      <c r="A33" s="2" t="s">
        <v>270</v>
      </c>
      <c r="C33" s="40">
        <v>7200</v>
      </c>
      <c r="E33" s="68"/>
      <c r="I33" s="40"/>
    </row>
    <row r="34" spans="1:9" x14ac:dyDescent="0.25">
      <c r="A34" s="2" t="s">
        <v>271</v>
      </c>
      <c r="C34" s="40">
        <v>7237</v>
      </c>
      <c r="E34" s="68"/>
      <c r="I34" s="40"/>
    </row>
    <row r="35" spans="1:9" x14ac:dyDescent="0.25">
      <c r="A35" s="2" t="s">
        <v>272</v>
      </c>
      <c r="C35" s="40">
        <v>7224</v>
      </c>
      <c r="E35" s="68"/>
      <c r="I35" s="40"/>
    </row>
    <row r="36" spans="1:9" ht="16.5" thickBot="1" x14ac:dyDescent="0.3">
      <c r="A36" s="2" t="s">
        <v>273</v>
      </c>
      <c r="C36" s="139">
        <f>SUM(C24:C35)</f>
        <v>86135</v>
      </c>
      <c r="I36" s="40"/>
    </row>
    <row r="37" spans="1:9" ht="16.5" thickTop="1" x14ac:dyDescent="0.25">
      <c r="A37" s="2"/>
      <c r="I37" s="65"/>
    </row>
    <row r="39" spans="1:9" x14ac:dyDescent="0.25">
      <c r="C39" s="68"/>
    </row>
    <row r="40" spans="1:9" x14ac:dyDescent="0.25">
      <c r="E40" s="30"/>
      <c r="I40" s="118"/>
    </row>
    <row r="41" spans="1:9" x14ac:dyDescent="0.25">
      <c r="E41" s="30"/>
      <c r="I41" s="118"/>
    </row>
    <row r="42" spans="1:9" x14ac:dyDescent="0.25">
      <c r="E42" s="30"/>
      <c r="I42" s="118"/>
    </row>
    <row r="44" spans="1:9" x14ac:dyDescent="0.25">
      <c r="I44" s="16" t="str">
        <f>I1</f>
        <v>OUCC</v>
      </c>
    </row>
    <row r="45" spans="1:9" x14ac:dyDescent="0.25">
      <c r="I45" s="16" t="s">
        <v>241</v>
      </c>
    </row>
    <row r="46" spans="1:9" x14ac:dyDescent="0.25">
      <c r="I46" s="16" t="s">
        <v>58</v>
      </c>
    </row>
    <row r="47" spans="1:9" ht="20.25" x14ac:dyDescent="0.3">
      <c r="A47" s="221" t="str">
        <f>+Inputs!$C$5</f>
        <v>Eastern Heights Utilities, Inc.</v>
      </c>
      <c r="B47" s="221"/>
      <c r="C47" s="221"/>
      <c r="D47" s="221"/>
      <c r="E47" s="221"/>
      <c r="F47" s="221"/>
      <c r="G47" s="221"/>
      <c r="H47" s="221"/>
      <c r="I47" s="221"/>
    </row>
    <row r="48" spans="1:9" ht="18.75" x14ac:dyDescent="0.3">
      <c r="A48" s="217" t="str">
        <f>"CAUSE NUMBER "&amp;Inputs!$C$6</f>
        <v>CAUSE NUMBER 46084-U</v>
      </c>
      <c r="B48" s="217"/>
      <c r="C48" s="217"/>
      <c r="D48" s="217"/>
      <c r="E48" s="217"/>
      <c r="F48" s="217"/>
      <c r="G48" s="217"/>
      <c r="H48" s="217"/>
      <c r="I48" s="217"/>
    </row>
    <row r="49" spans="1:9" x14ac:dyDescent="0.25">
      <c r="A49" s="201"/>
      <c r="B49" s="201"/>
      <c r="C49" s="201"/>
      <c r="D49" s="201"/>
      <c r="E49" s="127"/>
      <c r="F49" s="127"/>
      <c r="G49" s="127"/>
      <c r="H49" s="127"/>
      <c r="I49" s="127"/>
    </row>
    <row r="50" spans="1:9" x14ac:dyDescent="0.25">
      <c r="A50" s="218" t="s">
        <v>242</v>
      </c>
      <c r="B50" s="218"/>
      <c r="C50" s="218"/>
      <c r="D50" s="218"/>
      <c r="E50" s="218"/>
      <c r="F50" s="218"/>
      <c r="G50" s="218"/>
      <c r="H50" s="218"/>
      <c r="I50" s="218"/>
    </row>
    <row r="51" spans="1:9" x14ac:dyDescent="0.25">
      <c r="A51" s="225" t="s">
        <v>274</v>
      </c>
      <c r="B51" s="225"/>
      <c r="C51" s="225"/>
      <c r="D51" s="225"/>
      <c r="E51" s="225"/>
      <c r="F51" s="225"/>
      <c r="G51" s="225"/>
      <c r="H51" s="225"/>
      <c r="I51" s="225"/>
    </row>
    <row r="52" spans="1:9" x14ac:dyDescent="0.25">
      <c r="A52" s="226" t="s">
        <v>275</v>
      </c>
      <c r="B52" s="226"/>
      <c r="C52" s="226"/>
      <c r="D52" s="226"/>
      <c r="E52" s="226"/>
      <c r="F52" s="226"/>
      <c r="G52" s="226"/>
      <c r="H52" s="226"/>
      <c r="I52" s="226"/>
    </row>
    <row r="53" spans="1:9" x14ac:dyDescent="0.25">
      <c r="A53" s="204"/>
      <c r="B53" s="204"/>
      <c r="C53" s="204"/>
      <c r="D53" s="204"/>
      <c r="E53" s="204"/>
      <c r="F53" s="204"/>
      <c r="G53" s="204"/>
      <c r="H53" s="204"/>
      <c r="I53" s="204"/>
    </row>
    <row r="54" spans="1:9" x14ac:dyDescent="0.25">
      <c r="A54" s="2" t="s">
        <v>276</v>
      </c>
      <c r="B54" s="204"/>
      <c r="C54" s="204"/>
      <c r="D54" s="204"/>
      <c r="E54" s="204"/>
      <c r="F54" s="204"/>
      <c r="G54" s="204"/>
      <c r="H54" s="204"/>
      <c r="I54" s="204"/>
    </row>
    <row r="55" spans="1:9" x14ac:dyDescent="0.25">
      <c r="A55" s="2"/>
      <c r="B55" s="204"/>
      <c r="C55" s="204"/>
      <c r="E55" s="204"/>
      <c r="F55" s="204"/>
      <c r="G55" s="204"/>
      <c r="H55" s="204"/>
      <c r="I55" s="204"/>
    </row>
    <row r="56" spans="1:9" x14ac:dyDescent="0.25">
      <c r="B56" s="2" t="s">
        <v>277</v>
      </c>
      <c r="C56" s="204"/>
      <c r="E56" s="204"/>
      <c r="F56" s="131">
        <f>C73</f>
        <v>7253</v>
      </c>
      <c r="G56" s="204"/>
      <c r="H56" s="204"/>
      <c r="I56" s="204"/>
    </row>
    <row r="57" spans="1:9" x14ac:dyDescent="0.25">
      <c r="B57" s="2" t="s">
        <v>278</v>
      </c>
      <c r="C57" s="204"/>
      <c r="E57" s="204"/>
      <c r="F57" s="132">
        <f>C35</f>
        <v>7224</v>
      </c>
      <c r="G57" s="204"/>
      <c r="H57" s="204"/>
      <c r="I57" s="204"/>
    </row>
    <row r="58" spans="1:9" x14ac:dyDescent="0.25">
      <c r="B58" s="2" t="s">
        <v>279</v>
      </c>
      <c r="C58" s="204"/>
      <c r="E58" s="204"/>
      <c r="F58" s="131">
        <f>F56-F57</f>
        <v>29</v>
      </c>
      <c r="G58" s="204"/>
      <c r="H58" s="204"/>
      <c r="I58" s="204"/>
    </row>
    <row r="59" spans="1:9" x14ac:dyDescent="0.25">
      <c r="B59" s="2" t="s">
        <v>247</v>
      </c>
      <c r="C59" s="204"/>
      <c r="E59" s="204"/>
      <c r="F59" s="132">
        <v>12</v>
      </c>
      <c r="G59" s="204"/>
      <c r="H59" s="204"/>
      <c r="I59" s="204"/>
    </row>
    <row r="60" spans="1:9" x14ac:dyDescent="0.25">
      <c r="B60" s="2" t="s">
        <v>250</v>
      </c>
      <c r="C60" s="204"/>
      <c r="E60" s="204"/>
      <c r="F60" s="131">
        <f>F58*F59</f>
        <v>348</v>
      </c>
      <c r="G60" s="204"/>
      <c r="H60" s="204"/>
      <c r="I60" s="204"/>
    </row>
    <row r="61" spans="1:9" x14ac:dyDescent="0.25">
      <c r="B61" s="2" t="s">
        <v>251</v>
      </c>
      <c r="C61" s="204"/>
      <c r="E61" s="204"/>
      <c r="F61" s="142">
        <f>H69</f>
        <v>27.42</v>
      </c>
      <c r="G61" s="204"/>
      <c r="H61" s="204"/>
      <c r="I61" s="204"/>
    </row>
    <row r="62" spans="1:9" x14ac:dyDescent="0.25">
      <c r="C62" s="204"/>
      <c r="E62" s="204"/>
      <c r="F62" s="131"/>
      <c r="G62" s="204"/>
      <c r="H62" s="204"/>
      <c r="I62" s="204"/>
    </row>
    <row r="63" spans="1:9" ht="16.5" thickBot="1" x14ac:dyDescent="0.3">
      <c r="C63" s="204"/>
      <c r="E63" s="30" t="s">
        <v>252</v>
      </c>
      <c r="I63" s="140">
        <f>ROUND(F60*F61,0)</f>
        <v>9542</v>
      </c>
    </row>
    <row r="64" spans="1:9" ht="16.5" thickTop="1" x14ac:dyDescent="0.25">
      <c r="A64" s="2"/>
      <c r="B64" s="204"/>
      <c r="C64" s="204"/>
      <c r="D64" s="204"/>
      <c r="E64" s="204"/>
      <c r="F64" s="204"/>
      <c r="G64" s="204"/>
      <c r="H64" s="204"/>
      <c r="I64" s="204"/>
    </row>
    <row r="65" spans="1:10" x14ac:dyDescent="0.25">
      <c r="A65" s="30" t="s">
        <v>280</v>
      </c>
      <c r="B65" s="204"/>
      <c r="C65" s="204"/>
      <c r="D65" s="204"/>
      <c r="E65" s="204"/>
      <c r="F65" s="204"/>
      <c r="G65" s="204"/>
      <c r="H65" s="204"/>
      <c r="I65" s="204"/>
    </row>
    <row r="66" spans="1:10" x14ac:dyDescent="0.25">
      <c r="A66" s="158" t="s">
        <v>254</v>
      </c>
      <c r="B66" s="70"/>
      <c r="C66" s="158" t="s">
        <v>255</v>
      </c>
      <c r="D66" s="70"/>
      <c r="E66" s="70"/>
      <c r="F66" s="70"/>
      <c r="G66" s="70"/>
      <c r="H66" s="70"/>
      <c r="J66" s="70"/>
    </row>
    <row r="67" spans="1:10" x14ac:dyDescent="0.25">
      <c r="A67" s="2" t="s">
        <v>256</v>
      </c>
      <c r="C67" s="40">
        <v>7218</v>
      </c>
      <c r="D67" s="70"/>
      <c r="E67" s="2" t="s">
        <v>281</v>
      </c>
      <c r="H67" s="39">
        <v>1387963</v>
      </c>
      <c r="J67" s="70"/>
    </row>
    <row r="68" spans="1:10" x14ac:dyDescent="0.25">
      <c r="A68" s="2" t="s">
        <v>259</v>
      </c>
      <c r="C68" s="40">
        <v>7208</v>
      </c>
      <c r="D68" s="68"/>
      <c r="E68" s="2" t="s">
        <v>260</v>
      </c>
      <c r="H68" s="119">
        <f>SUM(C67:C73)</f>
        <v>50612</v>
      </c>
    </row>
    <row r="69" spans="1:10" ht="16.5" thickBot="1" x14ac:dyDescent="0.3">
      <c r="A69" s="2" t="s">
        <v>261</v>
      </c>
      <c r="C69" s="40">
        <v>7219</v>
      </c>
      <c r="D69" s="68"/>
      <c r="E69" s="2" t="s">
        <v>262</v>
      </c>
      <c r="H69" s="126">
        <f>ROUND(H67/H68,2)</f>
        <v>27.42</v>
      </c>
    </row>
    <row r="70" spans="1:10" ht="16.5" thickTop="1" x14ac:dyDescent="0.25">
      <c r="A70" s="2" t="s">
        <v>263</v>
      </c>
      <c r="C70" s="40">
        <v>7234</v>
      </c>
      <c r="D70" s="68"/>
      <c r="G70" s="65"/>
      <c r="I70" s="124"/>
    </row>
    <row r="71" spans="1:10" x14ac:dyDescent="0.25">
      <c r="A71" s="2" t="s">
        <v>264</v>
      </c>
      <c r="C71" s="40">
        <v>7233</v>
      </c>
      <c r="D71" s="68"/>
      <c r="E71" s="2"/>
      <c r="G71" s="65"/>
      <c r="I71" s="124"/>
    </row>
    <row r="72" spans="1:10" x14ac:dyDescent="0.25">
      <c r="A72" s="2" t="s">
        <v>265</v>
      </c>
      <c r="C72" s="40">
        <v>7247</v>
      </c>
      <c r="D72" s="68"/>
      <c r="G72" s="65"/>
    </row>
    <row r="73" spans="1:10" x14ac:dyDescent="0.25">
      <c r="A73" s="2" t="s">
        <v>266</v>
      </c>
      <c r="B73" s="7"/>
      <c r="C73" s="40">
        <v>7253</v>
      </c>
      <c r="D73" s="68"/>
      <c r="G73" s="65"/>
    </row>
    <row r="74" spans="1:10" x14ac:dyDescent="0.25">
      <c r="A74" s="2"/>
      <c r="C74" s="40"/>
      <c r="D74" s="68"/>
      <c r="G74" s="65"/>
    </row>
    <row r="75" spans="1:10" x14ac:dyDescent="0.25">
      <c r="A75" s="2"/>
      <c r="H75" s="40"/>
    </row>
    <row r="76" spans="1:10" x14ac:dyDescent="0.25">
      <c r="A76" s="2"/>
      <c r="H76" s="65"/>
    </row>
    <row r="77" spans="1:10" x14ac:dyDescent="0.25">
      <c r="A77" s="2"/>
      <c r="I77" s="65"/>
    </row>
    <row r="78" spans="1:10" x14ac:dyDescent="0.25">
      <c r="A78" s="2"/>
    </row>
    <row r="79" spans="1:10" x14ac:dyDescent="0.25">
      <c r="A79" s="205"/>
      <c r="B79" s="70"/>
      <c r="C79" s="70"/>
    </row>
    <row r="80" spans="1:10" x14ac:dyDescent="0.25">
      <c r="A80" s="2"/>
      <c r="D80" s="70"/>
      <c r="E80" s="70"/>
      <c r="F80" s="70"/>
      <c r="G80" s="70"/>
      <c r="H80" s="70"/>
      <c r="I80" s="70"/>
    </row>
  </sheetData>
  <mergeCells count="11">
    <mergeCell ref="A51:I51"/>
    <mergeCell ref="A52:I52"/>
    <mergeCell ref="A4:I4"/>
    <mergeCell ref="A5:I5"/>
    <mergeCell ref="A7:I7"/>
    <mergeCell ref="A9:I9"/>
    <mergeCell ref="A10:I10"/>
    <mergeCell ref="A47:I47"/>
    <mergeCell ref="A48:I48"/>
    <mergeCell ref="A50:I50"/>
    <mergeCell ref="E30:I31"/>
  </mergeCells>
  <phoneticPr fontId="7" type="noConversion"/>
  <pageMargins left="0.75" right="0.75" top="1" bottom="1" header="0.5" footer="0.5"/>
  <pageSetup scale="86" fitToHeight="0" orientation="portrait" horizontalDpi="90" verticalDpi="90" r:id="rId1"/>
  <headerFooter alignWithMargins="0"/>
  <rowBreaks count="1" manualBreakCount="1">
    <brk id="4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29"/>
    <pageSetUpPr fitToPage="1"/>
  </sheetPr>
  <dimension ref="A1:K182"/>
  <sheetViews>
    <sheetView view="pageBreakPreview" zoomScaleNormal="130" zoomScaleSheetLayoutView="100" workbookViewId="0"/>
  </sheetViews>
  <sheetFormatPr defaultRowHeight="15.75" x14ac:dyDescent="0.25"/>
  <cols>
    <col min="4" max="4" width="12.625" bestFit="1" customWidth="1"/>
    <col min="5" max="5" width="11.875" customWidth="1"/>
    <col min="6" max="6" width="11.375" customWidth="1"/>
    <col min="7" max="7" width="12.125" bestFit="1" customWidth="1"/>
    <col min="8" max="8" width="11.75" bestFit="1" customWidth="1"/>
    <col min="9" max="9" width="9.75" customWidth="1"/>
  </cols>
  <sheetData>
    <row r="1" spans="1:11" x14ac:dyDescent="0.25">
      <c r="A1" s="2"/>
      <c r="B1" s="2"/>
      <c r="C1" s="2"/>
      <c r="D1" s="2"/>
      <c r="E1" s="2"/>
      <c r="F1" s="2"/>
      <c r="G1" s="2"/>
      <c r="H1" s="2"/>
      <c r="I1" s="16" t="str">
        <f>+'Sch 1'!I1</f>
        <v>OUCC</v>
      </c>
    </row>
    <row r="2" spans="1:11" x14ac:dyDescent="0.25">
      <c r="A2" s="2"/>
      <c r="B2" s="2"/>
      <c r="C2" s="2"/>
      <c r="D2" s="2"/>
      <c r="E2" s="2"/>
      <c r="F2" s="2"/>
      <c r="G2" s="2"/>
      <c r="H2" s="2"/>
      <c r="I2" s="16" t="s">
        <v>282</v>
      </c>
    </row>
    <row r="3" spans="1:11" x14ac:dyDescent="0.25">
      <c r="A3" s="2"/>
      <c r="B3" s="2"/>
      <c r="C3" s="2"/>
      <c r="D3" s="2"/>
      <c r="E3" s="2"/>
      <c r="F3" s="2"/>
      <c r="G3" s="2"/>
      <c r="H3" s="2"/>
      <c r="I3" s="16" t="s">
        <v>283</v>
      </c>
    </row>
    <row r="4" spans="1:11" s="20" customFormat="1" ht="20.25" x14ac:dyDescent="0.3">
      <c r="A4" s="221" t="str">
        <f>+Inputs!$C$5</f>
        <v>Eastern Heights Utilities, Inc.</v>
      </c>
      <c r="B4" s="221"/>
      <c r="C4" s="221"/>
      <c r="D4" s="221"/>
      <c r="E4" s="221"/>
      <c r="F4" s="221"/>
      <c r="G4" s="221"/>
      <c r="H4" s="221"/>
      <c r="I4" s="221"/>
    </row>
    <row r="5" spans="1:11" s="20" customFormat="1" ht="18.75" x14ac:dyDescent="0.3">
      <c r="A5" s="217" t="str">
        <f>"CAUSE NUMBER "&amp;Inputs!$C$6</f>
        <v>CAUSE NUMBER 46084-U</v>
      </c>
      <c r="B5" s="217"/>
      <c r="C5" s="217"/>
      <c r="D5" s="217"/>
      <c r="E5" s="217"/>
      <c r="F5" s="217"/>
      <c r="G5" s="217"/>
      <c r="H5" s="217"/>
      <c r="I5" s="217"/>
    </row>
    <row r="6" spans="1:11" x14ac:dyDescent="0.25">
      <c r="A6" s="201"/>
      <c r="B6" s="201"/>
      <c r="C6" s="201"/>
      <c r="D6" s="201"/>
      <c r="E6" s="201"/>
      <c r="F6" s="201"/>
      <c r="G6" s="201"/>
      <c r="H6" s="201"/>
      <c r="I6" s="201"/>
    </row>
    <row r="7" spans="1:11" x14ac:dyDescent="0.25">
      <c r="A7" s="218" t="s">
        <v>284</v>
      </c>
      <c r="B7" s="218"/>
      <c r="C7" s="218"/>
      <c r="D7" s="218"/>
      <c r="E7" s="218"/>
      <c r="F7" s="218"/>
      <c r="G7" s="218"/>
      <c r="H7" s="218"/>
      <c r="I7" s="218"/>
    </row>
    <row r="9" spans="1:11" x14ac:dyDescent="0.25">
      <c r="A9" s="225" t="s">
        <v>243</v>
      </c>
      <c r="B9" s="225"/>
      <c r="C9" s="225"/>
      <c r="D9" s="225"/>
      <c r="E9" s="225"/>
      <c r="F9" s="225"/>
      <c r="G9" s="225"/>
      <c r="H9" s="225"/>
      <c r="I9" s="225"/>
      <c r="K9" s="124"/>
    </row>
    <row r="10" spans="1:11" x14ac:dyDescent="0.25">
      <c r="A10" s="226" t="s">
        <v>285</v>
      </c>
      <c r="B10" s="226"/>
      <c r="C10" s="226"/>
      <c r="D10" s="226"/>
      <c r="E10" s="226"/>
      <c r="F10" s="226"/>
      <c r="G10" s="226"/>
      <c r="H10" s="226"/>
      <c r="I10" s="226"/>
    </row>
    <row r="11" spans="1:11" x14ac:dyDescent="0.25">
      <c r="A11" s="2" t="s">
        <v>286</v>
      </c>
      <c r="H11" s="124"/>
    </row>
    <row r="12" spans="1:11" s="70" customFormat="1" ht="31.5" x14ac:dyDescent="0.25">
      <c r="C12" s="130" t="s">
        <v>287</v>
      </c>
      <c r="D12" s="130" t="s">
        <v>288</v>
      </c>
      <c r="E12" s="130" t="s">
        <v>289</v>
      </c>
      <c r="F12" s="130" t="s">
        <v>290</v>
      </c>
      <c r="G12" s="130" t="s">
        <v>291</v>
      </c>
      <c r="H12" s="130" t="s">
        <v>292</v>
      </c>
      <c r="J12" s="124"/>
    </row>
    <row r="13" spans="1:11" s="70" customFormat="1" x14ac:dyDescent="0.25">
      <c r="A13" t="s">
        <v>293</v>
      </c>
      <c r="B13"/>
      <c r="C13" s="76">
        <v>35.5</v>
      </c>
      <c r="D13">
        <v>2080</v>
      </c>
      <c r="E13" s="150">
        <v>4</v>
      </c>
      <c r="F13" s="145">
        <f>C13*D13</f>
        <v>73840</v>
      </c>
      <c r="G13" s="145">
        <f>ROUND((1.5*C13)*E13,0)</f>
        <v>213</v>
      </c>
      <c r="H13" s="145">
        <f>ROUND(F13+G13,0)</f>
        <v>74053</v>
      </c>
      <c r="J13" s="124"/>
    </row>
    <row r="14" spans="1:11" s="70" customFormat="1" x14ac:dyDescent="0.25">
      <c r="A14" t="s">
        <v>294</v>
      </c>
      <c r="B14"/>
      <c r="C14" s="65">
        <v>35</v>
      </c>
      <c r="D14">
        <v>2080</v>
      </c>
      <c r="E14" s="150">
        <v>161.5</v>
      </c>
      <c r="F14" s="68">
        <f>C14*D14</f>
        <v>72800</v>
      </c>
      <c r="G14" s="68">
        <f t="shared" ref="G14:G26" si="0">ROUND((1.5*C14)*E14,0)</f>
        <v>8479</v>
      </c>
      <c r="H14" s="24">
        <f t="shared" ref="H14:H26" si="1">ROUND(F14+G14,0)</f>
        <v>81279</v>
      </c>
      <c r="J14" s="124"/>
    </row>
    <row r="15" spans="1:11" x14ac:dyDescent="0.25">
      <c r="A15" t="s">
        <v>295</v>
      </c>
      <c r="C15" s="65">
        <v>32</v>
      </c>
      <c r="D15">
        <v>2080</v>
      </c>
      <c r="E15" s="150">
        <v>136</v>
      </c>
      <c r="F15" s="68">
        <f>C15*D15</f>
        <v>66560</v>
      </c>
      <c r="G15" s="68">
        <f t="shared" si="0"/>
        <v>6528</v>
      </c>
      <c r="H15" s="24">
        <f t="shared" si="1"/>
        <v>73088</v>
      </c>
      <c r="J15" s="124"/>
    </row>
    <row r="16" spans="1:11" x14ac:dyDescent="0.25">
      <c r="A16" t="s">
        <v>296</v>
      </c>
      <c r="C16" s="65">
        <v>29.4</v>
      </c>
      <c r="D16">
        <v>2080</v>
      </c>
      <c r="E16" s="150">
        <v>0</v>
      </c>
      <c r="F16" s="68">
        <f>C16*D16</f>
        <v>61152</v>
      </c>
      <c r="G16" s="68">
        <f t="shared" si="0"/>
        <v>0</v>
      </c>
      <c r="H16" s="24">
        <f t="shared" si="1"/>
        <v>61152</v>
      </c>
      <c r="J16" s="124"/>
    </row>
    <row r="17" spans="1:9" x14ac:dyDescent="0.25">
      <c r="A17" t="s">
        <v>297</v>
      </c>
      <c r="C17" s="65">
        <v>27.5</v>
      </c>
      <c r="D17">
        <v>2080</v>
      </c>
      <c r="E17" s="150">
        <v>96</v>
      </c>
      <c r="F17" s="68">
        <f t="shared" ref="F17:F18" si="2">C17*D17</f>
        <v>57200</v>
      </c>
      <c r="G17" s="68">
        <f t="shared" si="0"/>
        <v>3960</v>
      </c>
      <c r="H17" s="24">
        <f t="shared" si="1"/>
        <v>61160</v>
      </c>
    </row>
    <row r="18" spans="1:9" x14ac:dyDescent="0.25">
      <c r="A18" s="2" t="s">
        <v>298</v>
      </c>
      <c r="C18" s="65">
        <v>27</v>
      </c>
      <c r="D18">
        <v>2080</v>
      </c>
      <c r="E18" s="150">
        <v>190</v>
      </c>
      <c r="F18" s="68">
        <f t="shared" si="2"/>
        <v>56160</v>
      </c>
      <c r="G18" s="68">
        <f t="shared" si="0"/>
        <v>7695</v>
      </c>
      <c r="H18" s="24">
        <f t="shared" si="1"/>
        <v>63855</v>
      </c>
    </row>
    <row r="19" spans="1:9" x14ac:dyDescent="0.25">
      <c r="A19" s="2" t="s">
        <v>298</v>
      </c>
      <c r="C19" s="65">
        <v>23.85</v>
      </c>
      <c r="D19">
        <v>2080</v>
      </c>
      <c r="E19" s="150">
        <v>240.5</v>
      </c>
      <c r="F19" s="68">
        <f t="shared" ref="F19:F26" si="3">C19*D19</f>
        <v>49608</v>
      </c>
      <c r="G19" s="68">
        <f t="shared" si="0"/>
        <v>8604</v>
      </c>
      <c r="H19" s="24">
        <f t="shared" si="1"/>
        <v>58212</v>
      </c>
      <c r="I19" s="124"/>
    </row>
    <row r="20" spans="1:9" x14ac:dyDescent="0.25">
      <c r="A20" t="s">
        <v>299</v>
      </c>
      <c r="C20" s="65">
        <v>19.899999999999999</v>
      </c>
      <c r="D20">
        <v>2080</v>
      </c>
      <c r="E20" s="150">
        <v>212</v>
      </c>
      <c r="F20" s="68">
        <f t="shared" si="3"/>
        <v>41392</v>
      </c>
      <c r="G20" s="68">
        <f t="shared" si="0"/>
        <v>6328</v>
      </c>
      <c r="H20" s="24">
        <f t="shared" si="1"/>
        <v>47720</v>
      </c>
    </row>
    <row r="21" spans="1:9" x14ac:dyDescent="0.25">
      <c r="A21" t="s">
        <v>296</v>
      </c>
      <c r="C21" s="65">
        <v>18</v>
      </c>
      <c r="D21">
        <v>2080</v>
      </c>
      <c r="E21" s="150">
        <v>0</v>
      </c>
      <c r="F21" s="68">
        <f t="shared" si="3"/>
        <v>37440</v>
      </c>
      <c r="G21" s="68">
        <f t="shared" si="0"/>
        <v>0</v>
      </c>
      <c r="H21" s="24">
        <f t="shared" si="1"/>
        <v>37440</v>
      </c>
    </row>
    <row r="22" spans="1:9" x14ac:dyDescent="0.25">
      <c r="A22" t="s">
        <v>300</v>
      </c>
      <c r="C22" s="65">
        <v>17.5</v>
      </c>
      <c r="D22">
        <v>2080</v>
      </c>
      <c r="E22" s="150">
        <v>177.5</v>
      </c>
      <c r="F22" s="68">
        <f t="shared" si="3"/>
        <v>36400</v>
      </c>
      <c r="G22" s="68">
        <f t="shared" si="0"/>
        <v>4659</v>
      </c>
      <c r="H22" s="24">
        <f t="shared" si="1"/>
        <v>41059</v>
      </c>
    </row>
    <row r="23" spans="1:9" x14ac:dyDescent="0.25">
      <c r="A23" t="s">
        <v>301</v>
      </c>
      <c r="C23" s="65">
        <v>17.5</v>
      </c>
      <c r="D23">
        <v>2080</v>
      </c>
      <c r="E23" s="150">
        <v>247</v>
      </c>
      <c r="F23" s="68">
        <f t="shared" si="3"/>
        <v>36400</v>
      </c>
      <c r="G23" s="68">
        <f t="shared" si="0"/>
        <v>6484</v>
      </c>
      <c r="H23" s="24">
        <f t="shared" si="1"/>
        <v>42884</v>
      </c>
    </row>
    <row r="24" spans="1:9" x14ac:dyDescent="0.25">
      <c r="A24" t="s">
        <v>299</v>
      </c>
      <c r="C24" s="65">
        <v>17.75</v>
      </c>
      <c r="D24">
        <v>2080</v>
      </c>
      <c r="E24" s="150">
        <v>98</v>
      </c>
      <c r="F24" s="68">
        <f t="shared" si="3"/>
        <v>36920</v>
      </c>
      <c r="G24" s="68">
        <f t="shared" si="0"/>
        <v>2609</v>
      </c>
      <c r="H24" s="24">
        <f t="shared" si="1"/>
        <v>39529</v>
      </c>
    </row>
    <row r="25" spans="1:9" x14ac:dyDescent="0.25">
      <c r="A25" t="s">
        <v>296</v>
      </c>
      <c r="C25" s="65">
        <v>17.5</v>
      </c>
      <c r="D25">
        <v>2080</v>
      </c>
      <c r="E25" s="150">
        <v>0</v>
      </c>
      <c r="F25" s="68">
        <f t="shared" si="3"/>
        <v>36400</v>
      </c>
      <c r="G25" s="68">
        <f t="shared" si="0"/>
        <v>0</v>
      </c>
      <c r="H25" s="24">
        <f t="shared" si="1"/>
        <v>36400</v>
      </c>
    </row>
    <row r="26" spans="1:9" x14ac:dyDescent="0.25">
      <c r="A26" t="s">
        <v>296</v>
      </c>
      <c r="C26" s="65">
        <v>17.5</v>
      </c>
      <c r="D26">
        <v>1248</v>
      </c>
      <c r="E26" s="150">
        <v>0</v>
      </c>
      <c r="F26" s="68">
        <f t="shared" si="3"/>
        <v>21840</v>
      </c>
      <c r="G26" s="68">
        <f t="shared" si="0"/>
        <v>0</v>
      </c>
      <c r="H26" s="81">
        <f t="shared" si="1"/>
        <v>21840</v>
      </c>
    </row>
    <row r="27" spans="1:9" x14ac:dyDescent="0.25">
      <c r="E27" s="2" t="s">
        <v>302</v>
      </c>
      <c r="H27" s="24">
        <f>ROUND(SUM(H13:H26),0)</f>
        <v>739671</v>
      </c>
    </row>
    <row r="28" spans="1:9" ht="16.5" thickBot="1" x14ac:dyDescent="0.3">
      <c r="E28" t="s">
        <v>303</v>
      </c>
      <c r="H28" s="160">
        <f>'Sch 4'!E30</f>
        <v>675214</v>
      </c>
    </row>
    <row r="29" spans="1:9" ht="12.6" customHeight="1" x14ac:dyDescent="0.25"/>
    <row r="30" spans="1:9" ht="16.5" thickBot="1" x14ac:dyDescent="0.3">
      <c r="E30" s="30" t="s">
        <v>252</v>
      </c>
      <c r="I30" s="73">
        <f>ROUND(H27-H28,0)</f>
        <v>64457</v>
      </c>
    </row>
    <row r="31" spans="1:9" ht="11.1" customHeight="1" thickTop="1" x14ac:dyDescent="0.25"/>
    <row r="32" spans="1:9" x14ac:dyDescent="0.25">
      <c r="A32" s="225" t="s">
        <v>274</v>
      </c>
      <c r="B32" s="225"/>
      <c r="C32" s="225"/>
      <c r="D32" s="225"/>
      <c r="E32" s="225"/>
      <c r="F32" s="225"/>
      <c r="G32" s="225"/>
      <c r="H32" s="225"/>
      <c r="I32" s="225"/>
    </row>
    <row r="33" spans="1:11" x14ac:dyDescent="0.25">
      <c r="A33" s="226" t="s">
        <v>209</v>
      </c>
      <c r="B33" s="226"/>
      <c r="C33" s="226"/>
      <c r="D33" s="226"/>
      <c r="E33" s="226"/>
      <c r="F33" s="226"/>
      <c r="G33" s="226"/>
      <c r="H33" s="226"/>
      <c r="I33" s="226"/>
    </row>
    <row r="34" spans="1:11" s="2" customFormat="1" x14ac:dyDescent="0.25">
      <c r="A34" s="230" t="s">
        <v>304</v>
      </c>
      <c r="B34" s="231"/>
      <c r="C34" s="231"/>
      <c r="D34" s="231"/>
      <c r="E34" s="231"/>
      <c r="F34" s="231"/>
      <c r="G34" s="231"/>
      <c r="H34" s="231"/>
      <c r="I34" s="231"/>
    </row>
    <row r="35" spans="1:11" ht="8.4499999999999993" customHeight="1" x14ac:dyDescent="0.25">
      <c r="A35" s="204"/>
      <c r="B35" s="204"/>
      <c r="C35" s="204"/>
      <c r="D35" s="204"/>
      <c r="E35" s="204"/>
      <c r="F35" s="204"/>
      <c r="G35" s="204"/>
      <c r="H35" s="204"/>
      <c r="I35" s="204"/>
    </row>
    <row r="36" spans="1:11" x14ac:dyDescent="0.25">
      <c r="A36" s="2" t="s">
        <v>71</v>
      </c>
    </row>
    <row r="37" spans="1:11" x14ac:dyDescent="0.25">
      <c r="A37" s="2"/>
      <c r="B37" s="2" t="s">
        <v>305</v>
      </c>
      <c r="F37" s="145">
        <v>354315</v>
      </c>
    </row>
    <row r="38" spans="1:11" x14ac:dyDescent="0.25">
      <c r="A38" s="2"/>
      <c r="B38" s="2" t="s">
        <v>306</v>
      </c>
      <c r="F38" s="81">
        <v>295019</v>
      </c>
      <c r="K38" s="68"/>
    </row>
    <row r="39" spans="1:11" x14ac:dyDescent="0.25">
      <c r="A39" s="2"/>
      <c r="G39" s="145">
        <f>F37-F38</f>
        <v>59296</v>
      </c>
    </row>
    <row r="40" spans="1:11" ht="9" customHeight="1" x14ac:dyDescent="0.25">
      <c r="A40" s="2"/>
    </row>
    <row r="41" spans="1:11" x14ac:dyDescent="0.25">
      <c r="A41" s="2" t="s">
        <v>307</v>
      </c>
      <c r="K41" s="68"/>
    </row>
    <row r="42" spans="1:11" x14ac:dyDescent="0.25">
      <c r="B42" s="2" t="s">
        <v>308</v>
      </c>
      <c r="F42" s="145">
        <f>H27</f>
        <v>739671</v>
      </c>
    </row>
    <row r="43" spans="1:11" ht="16.5" thickBot="1" x14ac:dyDescent="0.3">
      <c r="B43" s="2" t="s">
        <v>309</v>
      </c>
      <c r="F43" s="74">
        <v>7.4999999999999997E-2</v>
      </c>
    </row>
    <row r="44" spans="1:11" x14ac:dyDescent="0.25">
      <c r="C44" s="2" t="s">
        <v>310</v>
      </c>
      <c r="F44" s="68">
        <f>ROUND(F42*F43,0)</f>
        <v>55475</v>
      </c>
    </row>
    <row r="45" spans="1:11" ht="16.5" thickBot="1" x14ac:dyDescent="0.3">
      <c r="C45" s="2" t="s">
        <v>303</v>
      </c>
      <c r="F45" s="75">
        <v>53366</v>
      </c>
    </row>
    <row r="46" spans="1:11" x14ac:dyDescent="0.25">
      <c r="G46" s="162">
        <f>F44-F45</f>
        <v>2109</v>
      </c>
    </row>
    <row r="47" spans="1:11" x14ac:dyDescent="0.25">
      <c r="G47" s="163"/>
    </row>
    <row r="48" spans="1:11" ht="16.5" thickBot="1" x14ac:dyDescent="0.3">
      <c r="E48" s="30" t="s">
        <v>252</v>
      </c>
      <c r="I48" s="73">
        <f>ROUND(G39+G46,0)</f>
        <v>61405</v>
      </c>
    </row>
    <row r="49" spans="1:9" ht="16.5" thickTop="1" x14ac:dyDescent="0.25">
      <c r="I49" s="16" t="str">
        <f>+I1</f>
        <v>OUCC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16" t="s">
        <v>282</v>
      </c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16" t="s">
        <v>311</v>
      </c>
    </row>
    <row r="52" spans="1:9" ht="20.25" x14ac:dyDescent="0.3">
      <c r="A52" s="221" t="str">
        <f>+Inputs!$C$5</f>
        <v>Eastern Heights Utilities, Inc.</v>
      </c>
      <c r="B52" s="221"/>
      <c r="C52" s="221"/>
      <c r="D52" s="221"/>
      <c r="E52" s="221"/>
      <c r="F52" s="221"/>
      <c r="G52" s="221"/>
      <c r="H52" s="221"/>
      <c r="I52" s="221"/>
    </row>
    <row r="53" spans="1:9" ht="18.75" x14ac:dyDescent="0.3">
      <c r="A53" s="217" t="str">
        <f>"CAUSE NUMBER "&amp;Inputs!$C$6</f>
        <v>CAUSE NUMBER 46084-U</v>
      </c>
      <c r="B53" s="217"/>
      <c r="C53" s="217"/>
      <c r="D53" s="217"/>
      <c r="E53" s="217"/>
      <c r="F53" s="217"/>
      <c r="G53" s="217"/>
      <c r="H53" s="217"/>
      <c r="I53" s="217"/>
    </row>
    <row r="54" spans="1:9" x14ac:dyDescent="0.25">
      <c r="A54" s="201"/>
      <c r="B54" s="201"/>
      <c r="C54" s="201"/>
      <c r="D54" s="201"/>
      <c r="E54" s="201"/>
      <c r="F54" s="201"/>
      <c r="G54" s="201"/>
      <c r="H54" s="201"/>
      <c r="I54" s="201"/>
    </row>
    <row r="55" spans="1:9" x14ac:dyDescent="0.25">
      <c r="A55" s="218" t="s">
        <v>284</v>
      </c>
      <c r="B55" s="218"/>
      <c r="C55" s="218"/>
      <c r="D55" s="218"/>
      <c r="E55" s="218"/>
      <c r="F55" s="218"/>
      <c r="G55" s="218"/>
      <c r="H55" s="218"/>
      <c r="I55" s="218"/>
    </row>
    <row r="56" spans="1:9" x14ac:dyDescent="0.25">
      <c r="A56" s="201"/>
      <c r="B56" s="201"/>
      <c r="C56" s="201"/>
      <c r="D56" s="201"/>
      <c r="E56" s="201"/>
      <c r="F56" s="201"/>
      <c r="G56" s="201"/>
      <c r="H56" s="201"/>
      <c r="I56" s="201"/>
    </row>
    <row r="57" spans="1:9" x14ac:dyDescent="0.25">
      <c r="A57" s="228" t="s">
        <v>312</v>
      </c>
      <c r="B57" s="229"/>
      <c r="C57" s="229"/>
      <c r="D57" s="229"/>
      <c r="E57" s="229"/>
      <c r="F57" s="229"/>
      <c r="G57" s="229"/>
      <c r="H57" s="229"/>
      <c r="I57" s="229"/>
    </row>
    <row r="58" spans="1:9" x14ac:dyDescent="0.25">
      <c r="A58" s="226" t="s">
        <v>69</v>
      </c>
      <c r="B58" s="223"/>
      <c r="C58" s="223"/>
      <c r="D58" s="223"/>
      <c r="E58" s="223"/>
      <c r="F58" s="223"/>
      <c r="G58" s="223"/>
      <c r="H58" s="223"/>
      <c r="I58" s="223"/>
    </row>
    <row r="59" spans="1:9" x14ac:dyDescent="0.25">
      <c r="A59" s="2" t="s">
        <v>313</v>
      </c>
    </row>
    <row r="60" spans="1:9" x14ac:dyDescent="0.25">
      <c r="D60" s="203"/>
      <c r="E60" s="203"/>
      <c r="G60" s="203"/>
    </row>
    <row r="61" spans="1:9" s="161" customFormat="1" x14ac:dyDescent="0.25">
      <c r="A61" s="2"/>
      <c r="B61" s="114" t="s">
        <v>314</v>
      </c>
      <c r="C61" s="2"/>
      <c r="D61" s="2"/>
      <c r="E61"/>
      <c r="F61" s="165">
        <f>5152000-368000</f>
        <v>4784000</v>
      </c>
      <c r="G61" s="55"/>
      <c r="H61" s="2"/>
      <c r="I61" s="2"/>
    </row>
    <row r="62" spans="1:9" s="161" customFormat="1" x14ac:dyDescent="0.25">
      <c r="A62" s="2"/>
      <c r="B62" s="2"/>
      <c r="C62" s="166" t="s">
        <v>315</v>
      </c>
      <c r="D62" s="2"/>
      <c r="E62"/>
      <c r="F62" s="167">
        <v>15</v>
      </c>
      <c r="G62" s="55"/>
      <c r="H62" s="2"/>
      <c r="I62" s="2"/>
    </row>
    <row r="63" spans="1:9" s="161" customFormat="1" x14ac:dyDescent="0.25">
      <c r="A63" s="2"/>
      <c r="B63" s="114"/>
      <c r="C63" s="2"/>
      <c r="D63" s="2"/>
      <c r="E63"/>
      <c r="F63" s="168">
        <f>ROUND(F61/F62,0)</f>
        <v>318933</v>
      </c>
      <c r="G63" s="55"/>
      <c r="H63" s="2"/>
      <c r="I63" s="2"/>
    </row>
    <row r="64" spans="1:9" s="161" customFormat="1" x14ac:dyDescent="0.25">
      <c r="A64" s="2"/>
      <c r="B64" s="114"/>
      <c r="C64" s="2"/>
      <c r="D64" s="2"/>
      <c r="E64"/>
      <c r="F64" s="114"/>
      <c r="G64" s="55"/>
      <c r="H64" s="2"/>
      <c r="I64" s="2"/>
    </row>
    <row r="65" spans="1:9" s="161" customFormat="1" ht="20.25" customHeight="1" x14ac:dyDescent="0.25">
      <c r="A65" s="2"/>
      <c r="B65" s="114" t="s">
        <v>316</v>
      </c>
      <c r="C65" s="2"/>
      <c r="D65" s="2"/>
      <c r="E65"/>
      <c r="F65" s="169">
        <v>300000</v>
      </c>
      <c r="G65" s="55"/>
      <c r="H65" s="2"/>
      <c r="I65" s="2"/>
    </row>
    <row r="66" spans="1:9" s="161" customFormat="1" x14ac:dyDescent="0.25">
      <c r="A66" s="2"/>
      <c r="B66" s="2"/>
      <c r="C66" s="166" t="s">
        <v>315</v>
      </c>
      <c r="D66" s="2"/>
      <c r="E66"/>
      <c r="F66" s="167">
        <v>5</v>
      </c>
      <c r="G66" s="55"/>
      <c r="H66" s="2"/>
      <c r="I66" s="2"/>
    </row>
    <row r="67" spans="1:9" s="161" customFormat="1" x14ac:dyDescent="0.25">
      <c r="A67" s="2"/>
      <c r="B67" s="114"/>
      <c r="C67" s="2"/>
      <c r="D67" s="2"/>
      <c r="E67"/>
      <c r="F67" s="168">
        <f>ROUND(F65/F66,0)</f>
        <v>60000</v>
      </c>
      <c r="G67" s="55"/>
      <c r="H67" s="2"/>
      <c r="I67" s="2"/>
    </row>
    <row r="68" spans="1:9" s="161" customFormat="1" x14ac:dyDescent="0.25">
      <c r="A68" s="2"/>
      <c r="B68" s="114"/>
      <c r="C68" s="2"/>
      <c r="D68" s="2"/>
      <c r="E68"/>
      <c r="F68" s="114"/>
      <c r="G68" s="55"/>
      <c r="H68" s="2"/>
      <c r="I68" s="2"/>
    </row>
    <row r="69" spans="1:9" s="161" customFormat="1" x14ac:dyDescent="0.25">
      <c r="A69" s="2"/>
      <c r="B69" s="114" t="s">
        <v>317</v>
      </c>
      <c r="C69" s="2"/>
      <c r="D69" s="2"/>
      <c r="E69"/>
      <c r="F69" s="169">
        <v>23418</v>
      </c>
      <c r="G69" s="55"/>
      <c r="H69" s="2"/>
      <c r="I69" s="2"/>
    </row>
    <row r="70" spans="1:9" s="161" customFormat="1" x14ac:dyDescent="0.25">
      <c r="A70" s="2"/>
      <c r="B70" s="2"/>
      <c r="C70" s="166" t="s">
        <v>315</v>
      </c>
      <c r="D70" s="2"/>
      <c r="E70"/>
      <c r="F70" s="167">
        <v>5</v>
      </c>
      <c r="G70" s="55"/>
      <c r="H70" s="2"/>
      <c r="I70" s="2"/>
    </row>
    <row r="71" spans="1:9" s="161" customFormat="1" x14ac:dyDescent="0.25">
      <c r="A71" s="2"/>
      <c r="B71" s="114"/>
      <c r="C71" s="2"/>
      <c r="D71" s="2"/>
      <c r="E71"/>
      <c r="F71" s="170">
        <f>ROUND(F69/F70,0)</f>
        <v>4684</v>
      </c>
      <c r="G71" s="55"/>
      <c r="H71" s="2"/>
      <c r="I71" s="2"/>
    </row>
    <row r="72" spans="1:9" s="161" customFormat="1" x14ac:dyDescent="0.25">
      <c r="A72" s="2"/>
      <c r="B72" s="114"/>
      <c r="C72" s="2"/>
      <c r="D72" s="2"/>
      <c r="E72"/>
      <c r="F72" s="169"/>
      <c r="G72" s="55"/>
      <c r="H72" s="2"/>
      <c r="I72" s="2"/>
    </row>
    <row r="73" spans="1:9" s="161" customFormat="1" x14ac:dyDescent="0.25">
      <c r="A73" s="2"/>
      <c r="B73" s="114" t="s">
        <v>318</v>
      </c>
      <c r="C73" s="2"/>
      <c r="D73" s="2"/>
      <c r="E73"/>
      <c r="F73" s="171">
        <f>F63+F67+F71</f>
        <v>383617</v>
      </c>
      <c r="G73" s="55"/>
      <c r="H73" s="2"/>
      <c r="I73" s="2"/>
    </row>
    <row r="74" spans="1:9" s="161" customFormat="1" x14ac:dyDescent="0.25">
      <c r="A74" s="2"/>
      <c r="B74" s="114" t="s">
        <v>319</v>
      </c>
      <c r="C74" s="2"/>
      <c r="D74" s="2"/>
      <c r="E74"/>
      <c r="F74" s="168">
        <v>275091</v>
      </c>
      <c r="G74" s="55"/>
      <c r="H74" s="2"/>
      <c r="I74" s="2"/>
    </row>
    <row r="75" spans="1:9" s="161" customFormat="1" ht="16.5" thickBot="1" x14ac:dyDescent="0.3">
      <c r="A75" s="2"/>
      <c r="B75" s="172" t="s">
        <v>320</v>
      </c>
      <c r="C75" s="2"/>
      <c r="D75" s="2"/>
      <c r="E75"/>
      <c r="F75" s="173">
        <f>ROUND(F73-F74,0)</f>
        <v>108526</v>
      </c>
      <c r="G75" s="55"/>
      <c r="H75" s="2"/>
      <c r="I75" s="2"/>
    </row>
    <row r="76" spans="1:9" s="161" customFormat="1" ht="16.5" thickTop="1" x14ac:dyDescent="0.25">
      <c r="A76" s="2"/>
      <c r="B76" s="2"/>
      <c r="C76" s="2"/>
      <c r="D76" s="2"/>
      <c r="E76" s="174"/>
      <c r="F76" s="2"/>
      <c r="G76" s="36"/>
      <c r="H76" s="2"/>
      <c r="I76" s="2"/>
    </row>
    <row r="77" spans="1:9" ht="16.5" thickBot="1" x14ac:dyDescent="0.3">
      <c r="E77" s="30" t="s">
        <v>252</v>
      </c>
      <c r="I77" s="73">
        <f>ROUND(F75,0)</f>
        <v>108526</v>
      </c>
    </row>
    <row r="78" spans="1:9" ht="16.5" thickTop="1" x14ac:dyDescent="0.25"/>
    <row r="79" spans="1:9" x14ac:dyDescent="0.25">
      <c r="A79" s="225" t="s">
        <v>321</v>
      </c>
      <c r="B79" s="225"/>
      <c r="C79" s="225"/>
      <c r="D79" s="225"/>
      <c r="E79" s="225"/>
      <c r="F79" s="225"/>
      <c r="G79" s="225"/>
      <c r="H79" s="225"/>
      <c r="I79" s="225"/>
    </row>
    <row r="80" spans="1:9" x14ac:dyDescent="0.25">
      <c r="A80" s="226" t="s">
        <v>322</v>
      </c>
      <c r="B80" s="226"/>
      <c r="C80" s="226"/>
      <c r="D80" s="226"/>
      <c r="E80" s="226"/>
      <c r="F80" s="226"/>
      <c r="G80" s="226"/>
      <c r="H80" s="226"/>
      <c r="I80" s="226"/>
    </row>
    <row r="81" spans="1:9" x14ac:dyDescent="0.25">
      <c r="A81" s="2" t="s">
        <v>323</v>
      </c>
      <c r="H81" s="127"/>
      <c r="I81" s="127"/>
    </row>
    <row r="82" spans="1:9" x14ac:dyDescent="0.25">
      <c r="D82" s="203"/>
      <c r="E82" s="203"/>
      <c r="G82" s="203"/>
      <c r="H82" s="127"/>
      <c r="I82" s="127"/>
    </row>
    <row r="83" spans="1:9" x14ac:dyDescent="0.25">
      <c r="B83" s="2" t="s">
        <v>324</v>
      </c>
      <c r="E83" s="76"/>
      <c r="F83" s="35">
        <v>63000</v>
      </c>
      <c r="G83" s="67"/>
      <c r="H83" s="127"/>
      <c r="I83" s="127"/>
    </row>
    <row r="84" spans="1:9" x14ac:dyDescent="0.25">
      <c r="B84" s="2" t="s">
        <v>325</v>
      </c>
      <c r="F84" s="81">
        <v>5</v>
      </c>
    </row>
    <row r="85" spans="1:9" x14ac:dyDescent="0.25">
      <c r="B85" s="2"/>
    </row>
    <row r="86" spans="1:9" ht="16.5" thickBot="1" x14ac:dyDescent="0.3">
      <c r="E86" s="30" t="s">
        <v>252</v>
      </c>
      <c r="I86" s="73">
        <f>ROUND(F83/F84,0)</f>
        <v>12600</v>
      </c>
    </row>
    <row r="87" spans="1:9" ht="16.5" thickTop="1" x14ac:dyDescent="0.25"/>
    <row r="89" spans="1:9" x14ac:dyDescent="0.25">
      <c r="A89" s="2"/>
      <c r="B89" s="2"/>
      <c r="C89" s="2"/>
      <c r="D89" s="2"/>
      <c r="E89" s="2"/>
      <c r="F89" s="2"/>
      <c r="G89" s="2"/>
      <c r="H89" s="2"/>
      <c r="I89" s="16" t="str">
        <f>+I1</f>
        <v>OUCC</v>
      </c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16" t="s">
        <v>282</v>
      </c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16" t="s">
        <v>326</v>
      </c>
    </row>
    <row r="92" spans="1:9" ht="20.25" x14ac:dyDescent="0.3">
      <c r="A92" s="221" t="str">
        <f>+Inputs!$C$5</f>
        <v>Eastern Heights Utilities, Inc.</v>
      </c>
      <c r="B92" s="221"/>
      <c r="C92" s="221"/>
      <c r="D92" s="221"/>
      <c r="E92" s="221"/>
      <c r="F92" s="221"/>
      <c r="G92" s="221"/>
      <c r="H92" s="221"/>
      <c r="I92" s="221"/>
    </row>
    <row r="93" spans="1:9" ht="18.75" x14ac:dyDescent="0.3">
      <c r="A93" s="217" t="str">
        <f>"CAUSE NUMBER "&amp;Inputs!$C$6</f>
        <v>CAUSE NUMBER 46084-U</v>
      </c>
      <c r="B93" s="217"/>
      <c r="C93" s="217"/>
      <c r="D93" s="217"/>
      <c r="E93" s="217"/>
      <c r="F93" s="217"/>
      <c r="G93" s="217"/>
      <c r="H93" s="217"/>
      <c r="I93" s="217"/>
    </row>
    <row r="95" spans="1:9" x14ac:dyDescent="0.25">
      <c r="A95" s="218" t="s">
        <v>284</v>
      </c>
      <c r="B95" s="218"/>
      <c r="C95" s="218"/>
      <c r="D95" s="218"/>
      <c r="E95" s="218"/>
      <c r="F95" s="218"/>
      <c r="G95" s="218"/>
      <c r="H95" s="218"/>
      <c r="I95" s="218"/>
    </row>
    <row r="96" spans="1:9" ht="12.75" customHeight="1" x14ac:dyDescent="0.25"/>
    <row r="97" spans="1:9" x14ac:dyDescent="0.25">
      <c r="A97" s="225" t="s">
        <v>327</v>
      </c>
      <c r="B97" s="225"/>
      <c r="C97" s="225"/>
      <c r="D97" s="225"/>
      <c r="E97" s="225"/>
      <c r="F97" s="225"/>
      <c r="G97" s="225"/>
      <c r="H97" s="225"/>
      <c r="I97" s="225"/>
    </row>
    <row r="98" spans="1:9" x14ac:dyDescent="0.25">
      <c r="A98" s="226" t="s">
        <v>328</v>
      </c>
      <c r="B98" s="226"/>
      <c r="C98" s="226"/>
      <c r="D98" s="226"/>
      <c r="E98" s="226"/>
      <c r="F98" s="226"/>
      <c r="G98" s="226"/>
      <c r="H98" s="226"/>
      <c r="I98" s="226"/>
    </row>
    <row r="99" spans="1:9" x14ac:dyDescent="0.25">
      <c r="A99" s="2" t="s">
        <v>329</v>
      </c>
    </row>
    <row r="100" spans="1:9" x14ac:dyDescent="0.25">
      <c r="D100" s="203"/>
      <c r="E100" s="203"/>
      <c r="G100" s="203"/>
    </row>
    <row r="101" spans="1:9" x14ac:dyDescent="0.25">
      <c r="B101" s="2" t="s">
        <v>330</v>
      </c>
      <c r="E101" s="76"/>
      <c r="F101" s="207">
        <v>58.125</v>
      </c>
      <c r="G101" s="67"/>
    </row>
    <row r="102" spans="1:9" x14ac:dyDescent="0.25">
      <c r="B102" s="2" t="s">
        <v>331</v>
      </c>
      <c r="F102" s="77">
        <v>325</v>
      </c>
    </row>
    <row r="103" spans="1:9" x14ac:dyDescent="0.25">
      <c r="B103" s="2"/>
      <c r="F103" s="78">
        <f>F101*F102</f>
        <v>18890.625</v>
      </c>
    </row>
    <row r="104" spans="1:9" x14ac:dyDescent="0.25">
      <c r="B104" s="2"/>
    </row>
    <row r="105" spans="1:9" ht="16.5" thickBot="1" x14ac:dyDescent="0.3">
      <c r="E105" s="30" t="s">
        <v>252</v>
      </c>
      <c r="I105" s="73">
        <f>-ROUND(F103,0)</f>
        <v>-18891</v>
      </c>
    </row>
    <row r="106" spans="1:9" ht="9" customHeight="1" thickTop="1" x14ac:dyDescent="0.25"/>
    <row r="107" spans="1:9" x14ac:dyDescent="0.25">
      <c r="A107" s="225" t="s">
        <v>332</v>
      </c>
      <c r="B107" s="225"/>
      <c r="C107" s="225"/>
      <c r="D107" s="225"/>
      <c r="E107" s="225"/>
      <c r="F107" s="225"/>
      <c r="G107" s="225"/>
      <c r="H107" s="225"/>
      <c r="I107" s="225"/>
    </row>
    <row r="108" spans="1:9" x14ac:dyDescent="0.25">
      <c r="A108" s="226" t="s">
        <v>328</v>
      </c>
      <c r="B108" s="226"/>
      <c r="C108" s="226"/>
      <c r="D108" s="226"/>
      <c r="E108" s="226"/>
      <c r="F108" s="226"/>
      <c r="G108" s="226"/>
      <c r="H108" s="226"/>
      <c r="I108" s="226"/>
    </row>
    <row r="109" spans="1:9" x14ac:dyDescent="0.25">
      <c r="A109" s="2" t="s">
        <v>333</v>
      </c>
    </row>
    <row r="110" spans="1:9" x14ac:dyDescent="0.25">
      <c r="D110" s="203"/>
      <c r="E110" s="203"/>
      <c r="G110" s="203"/>
    </row>
    <row r="111" spans="1:9" s="161" customFormat="1" x14ac:dyDescent="0.25">
      <c r="A111"/>
      <c r="B111" s="2" t="s">
        <v>334</v>
      </c>
      <c r="C111"/>
      <c r="D111"/>
      <c r="E111" s="76"/>
      <c r="F111" s="208">
        <v>5502</v>
      </c>
      <c r="G111" s="67"/>
      <c r="H111"/>
      <c r="I111"/>
    </row>
    <row r="112" spans="1:9" s="161" customFormat="1" ht="31.5" customHeight="1" x14ac:dyDescent="0.25">
      <c r="A112"/>
      <c r="B112" s="232" t="s">
        <v>335</v>
      </c>
      <c r="C112" s="233"/>
      <c r="D112" s="233"/>
      <c r="E112" s="233"/>
      <c r="F112" s="233"/>
      <c r="G112" s="233"/>
      <c r="H112"/>
      <c r="I112"/>
    </row>
    <row r="113" spans="1:9" x14ac:dyDescent="0.25">
      <c r="B113" s="2"/>
    </row>
    <row r="114" spans="1:9" ht="16.5" thickBot="1" x14ac:dyDescent="0.3">
      <c r="E114" s="30" t="s">
        <v>252</v>
      </c>
      <c r="I114" s="73">
        <f>-F111</f>
        <v>-5502</v>
      </c>
    </row>
    <row r="115" spans="1:9" ht="8.25" customHeight="1" thickTop="1" x14ac:dyDescent="0.25"/>
    <row r="116" spans="1:9" x14ac:dyDescent="0.25">
      <c r="A116" s="225" t="s">
        <v>336</v>
      </c>
      <c r="B116" s="225"/>
      <c r="C116" s="225"/>
      <c r="D116" s="225"/>
      <c r="E116" s="225"/>
      <c r="F116" s="225"/>
      <c r="G116" s="225"/>
      <c r="H116" s="225"/>
      <c r="I116" s="225"/>
    </row>
    <row r="117" spans="1:9" x14ac:dyDescent="0.25">
      <c r="A117" s="226" t="s">
        <v>337</v>
      </c>
      <c r="B117" s="226"/>
      <c r="C117" s="226"/>
      <c r="D117" s="226"/>
      <c r="E117" s="226"/>
      <c r="F117" s="226"/>
      <c r="G117" s="226"/>
      <c r="H117" s="226"/>
      <c r="I117" s="226"/>
    </row>
    <row r="118" spans="1:9" x14ac:dyDescent="0.25">
      <c r="A118" s="2" t="s">
        <v>338</v>
      </c>
      <c r="B118" s="204"/>
      <c r="C118" s="204"/>
      <c r="D118" s="204"/>
      <c r="E118" s="204"/>
      <c r="F118" s="204"/>
      <c r="G118" s="204"/>
      <c r="H118" s="204"/>
      <c r="I118" s="204"/>
    </row>
    <row r="119" spans="1:9" ht="7.5" customHeight="1" x14ac:dyDescent="0.25">
      <c r="A119" s="204"/>
      <c r="B119" s="204"/>
      <c r="C119" s="204"/>
      <c r="D119" s="204"/>
      <c r="E119" s="204"/>
      <c r="F119" s="204"/>
      <c r="G119" s="204"/>
      <c r="H119" s="204"/>
      <c r="I119" s="204"/>
    </row>
    <row r="120" spans="1:9" x14ac:dyDescent="0.25">
      <c r="B120" s="2" t="s">
        <v>339</v>
      </c>
      <c r="F120" s="145">
        <v>30000</v>
      </c>
    </row>
    <row r="121" spans="1:9" x14ac:dyDescent="0.25">
      <c r="B121" s="2" t="s">
        <v>340</v>
      </c>
      <c r="F121" s="24">
        <v>0</v>
      </c>
    </row>
    <row r="122" spans="1:9" x14ac:dyDescent="0.25">
      <c r="B122" s="2" t="s">
        <v>341</v>
      </c>
      <c r="F122" s="81">
        <v>15000</v>
      </c>
    </row>
    <row r="123" spans="1:9" x14ac:dyDescent="0.25">
      <c r="B123" s="2" t="s">
        <v>342</v>
      </c>
      <c r="F123" s="5">
        <f>SUM(F120:F122)</f>
        <v>45000</v>
      </c>
      <c r="G123" s="30"/>
    </row>
    <row r="124" spans="1:9" x14ac:dyDescent="0.25">
      <c r="B124" s="2" t="s">
        <v>343</v>
      </c>
      <c r="F124" s="148">
        <v>3</v>
      </c>
      <c r="G124" s="30"/>
    </row>
    <row r="125" spans="1:9" x14ac:dyDescent="0.25">
      <c r="B125" s="2" t="s">
        <v>344</v>
      </c>
      <c r="F125" s="175">
        <f>F123/F124</f>
        <v>15000</v>
      </c>
      <c r="G125" s="30"/>
    </row>
    <row r="126" spans="1:9" ht="6.75" customHeight="1" x14ac:dyDescent="0.25">
      <c r="F126" s="30"/>
      <c r="G126" s="30"/>
    </row>
    <row r="127" spans="1:9" ht="16.5" thickBot="1" x14ac:dyDescent="0.3">
      <c r="E127" s="30" t="s">
        <v>252</v>
      </c>
      <c r="I127" s="73">
        <f>ROUND(F125,0)</f>
        <v>15000</v>
      </c>
    </row>
    <row r="128" spans="1:9" ht="9" customHeight="1" thickTop="1" x14ac:dyDescent="0.25">
      <c r="E128" s="30"/>
      <c r="I128" s="79"/>
    </row>
    <row r="129" spans="1:9" x14ac:dyDescent="0.25">
      <c r="A129" s="225" t="s">
        <v>345</v>
      </c>
      <c r="B129" s="225"/>
      <c r="C129" s="225"/>
      <c r="D129" s="225"/>
      <c r="E129" s="225"/>
      <c r="F129" s="225"/>
      <c r="G129" s="225"/>
      <c r="H129" s="225"/>
      <c r="I129" s="225"/>
    </row>
    <row r="130" spans="1:9" x14ac:dyDescent="0.25">
      <c r="A130" s="226" t="s">
        <v>346</v>
      </c>
      <c r="B130" s="226"/>
      <c r="C130" s="226"/>
      <c r="D130" s="226"/>
      <c r="E130" s="226"/>
      <c r="F130" s="226"/>
      <c r="G130" s="226"/>
      <c r="H130" s="226"/>
      <c r="I130" s="226"/>
    </row>
    <row r="131" spans="1:9" x14ac:dyDescent="0.25">
      <c r="A131" s="2" t="s">
        <v>347</v>
      </c>
    </row>
    <row r="133" spans="1:9" x14ac:dyDescent="0.25">
      <c r="B133" s="102" t="s">
        <v>167</v>
      </c>
      <c r="C133" s="2"/>
      <c r="D133" s="2"/>
      <c r="E133" s="2"/>
      <c r="F133" s="5">
        <f>'Sch 4'!K27</f>
        <v>2749812</v>
      </c>
    </row>
    <row r="134" spans="1:9" x14ac:dyDescent="0.25">
      <c r="B134" s="102" t="s">
        <v>348</v>
      </c>
      <c r="C134" s="2"/>
      <c r="D134" s="2"/>
      <c r="E134" s="2"/>
      <c r="F134" s="146">
        <f>Inputs!C10</f>
        <v>1.5E-3</v>
      </c>
    </row>
    <row r="135" spans="1:9" x14ac:dyDescent="0.25">
      <c r="B135" s="102" t="s">
        <v>342</v>
      </c>
      <c r="C135" s="2"/>
      <c r="D135" s="2"/>
      <c r="E135" s="2"/>
      <c r="F135" s="5">
        <f>ROUND(F133*F134,0)</f>
        <v>4125</v>
      </c>
    </row>
    <row r="136" spans="1:9" x14ac:dyDescent="0.25">
      <c r="B136" s="147" t="s">
        <v>349</v>
      </c>
      <c r="C136" s="2"/>
      <c r="D136" s="2"/>
      <c r="E136" s="2"/>
      <c r="F136" s="148">
        <v>3785</v>
      </c>
    </row>
    <row r="137" spans="1:9" x14ac:dyDescent="0.25">
      <c r="B137" s="147"/>
      <c r="C137" s="2"/>
      <c r="D137" s="2"/>
      <c r="E137" s="2"/>
      <c r="F137" s="108"/>
    </row>
    <row r="138" spans="1:9" ht="16.5" thickBot="1" x14ac:dyDescent="0.3">
      <c r="E138" s="50" t="s">
        <v>350</v>
      </c>
      <c r="F138" s="2"/>
      <c r="G138" s="2"/>
      <c r="H138" s="2"/>
      <c r="I138" s="45">
        <f>F135-F136</f>
        <v>340</v>
      </c>
    </row>
    <row r="139" spans="1:9" ht="16.5" thickTop="1" x14ac:dyDescent="0.25"/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16" t="str">
        <f>+I1</f>
        <v>OUCC</v>
      </c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16" t="s">
        <v>282</v>
      </c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16" t="s">
        <v>351</v>
      </c>
    </row>
    <row r="143" spans="1:9" ht="20.25" x14ac:dyDescent="0.3">
      <c r="A143" s="221" t="str">
        <f>+Inputs!$C$5</f>
        <v>Eastern Heights Utilities, Inc.</v>
      </c>
      <c r="B143" s="221"/>
      <c r="C143" s="221"/>
      <c r="D143" s="221"/>
      <c r="E143" s="221"/>
      <c r="F143" s="221"/>
      <c r="G143" s="221"/>
      <c r="H143" s="221"/>
      <c r="I143" s="221"/>
    </row>
    <row r="144" spans="1:9" ht="18.75" x14ac:dyDescent="0.3">
      <c r="A144" s="217" t="str">
        <f>"CAUSE NUMBER "&amp;Inputs!$C$6</f>
        <v>CAUSE NUMBER 46084-U</v>
      </c>
      <c r="B144" s="217"/>
      <c r="C144" s="217"/>
      <c r="D144" s="217"/>
      <c r="E144" s="217"/>
      <c r="F144" s="217"/>
      <c r="G144" s="217"/>
      <c r="H144" s="217"/>
      <c r="I144" s="217"/>
    </row>
    <row r="146" spans="1:11" x14ac:dyDescent="0.25">
      <c r="A146" s="218" t="s">
        <v>284</v>
      </c>
      <c r="B146" s="218"/>
      <c r="C146" s="218"/>
      <c r="D146" s="218"/>
      <c r="E146" s="218"/>
      <c r="F146" s="218"/>
      <c r="G146" s="218"/>
      <c r="H146" s="218"/>
      <c r="I146" s="218"/>
    </row>
    <row r="148" spans="1:11" x14ac:dyDescent="0.25">
      <c r="A148" s="225" t="s">
        <v>352</v>
      </c>
      <c r="B148" s="225"/>
      <c r="C148" s="225"/>
      <c r="D148" s="225"/>
      <c r="E148" s="225"/>
      <c r="F148" s="225"/>
      <c r="G148" s="225"/>
      <c r="H148" s="225"/>
      <c r="I148" s="225"/>
    </row>
    <row r="149" spans="1:11" x14ac:dyDescent="0.25">
      <c r="A149" s="226" t="s">
        <v>353</v>
      </c>
      <c r="B149" s="226"/>
      <c r="C149" s="226"/>
      <c r="D149" s="226"/>
      <c r="E149" s="226"/>
      <c r="F149" s="226"/>
      <c r="G149" s="226"/>
      <c r="H149" s="226"/>
      <c r="I149" s="226"/>
    </row>
    <row r="150" spans="1:11" x14ac:dyDescent="0.25">
      <c r="A150" s="2" t="s">
        <v>354</v>
      </c>
      <c r="K150" s="2"/>
    </row>
    <row r="151" spans="1:11" x14ac:dyDescent="0.25">
      <c r="D151" s="203"/>
      <c r="E151" s="203"/>
      <c r="G151" s="203"/>
    </row>
    <row r="152" spans="1:11" x14ac:dyDescent="0.25">
      <c r="A152" s="2" t="s">
        <v>355</v>
      </c>
      <c r="E152" s="39">
        <f>+'Sch 4'!K33</f>
        <v>203004</v>
      </c>
    </row>
    <row r="153" spans="1:11" x14ac:dyDescent="0.25">
      <c r="A153" t="s">
        <v>356</v>
      </c>
      <c r="E153" s="129">
        <f>+'Sch 4'!K34</f>
        <v>68988</v>
      </c>
      <c r="I153" s="79"/>
    </row>
    <row r="154" spans="1:11" x14ac:dyDescent="0.25">
      <c r="E154" s="40">
        <f>SUM(E152:E153)</f>
        <v>271992</v>
      </c>
      <c r="I154" s="79"/>
    </row>
    <row r="155" spans="1:11" x14ac:dyDescent="0.25">
      <c r="A155" s="2" t="s">
        <v>357</v>
      </c>
      <c r="E155" s="129">
        <v>88790</v>
      </c>
      <c r="I155" s="79"/>
      <c r="K155" s="68"/>
    </row>
    <row r="156" spans="1:11" x14ac:dyDescent="0.25">
      <c r="A156" s="2" t="s">
        <v>358</v>
      </c>
      <c r="F156" s="76">
        <f>ROUND(E154/E155,2)</f>
        <v>3.06</v>
      </c>
      <c r="I156" s="79"/>
    </row>
    <row r="157" spans="1:11" x14ac:dyDescent="0.25">
      <c r="A157" s="2" t="s">
        <v>359</v>
      </c>
      <c r="F157" s="128">
        <v>0.73</v>
      </c>
      <c r="I157" s="79"/>
    </row>
    <row r="158" spans="1:11" x14ac:dyDescent="0.25">
      <c r="B158" s="2" t="s">
        <v>360</v>
      </c>
      <c r="F158" s="144">
        <f>F156+F157</f>
        <v>3.79</v>
      </c>
    </row>
    <row r="159" spans="1:11" x14ac:dyDescent="0.25">
      <c r="E159" s="65"/>
    </row>
    <row r="160" spans="1:11" x14ac:dyDescent="0.25">
      <c r="B160" s="2" t="s">
        <v>361</v>
      </c>
      <c r="E160" s="65"/>
      <c r="F160" s="119">
        <f>+E170</f>
        <v>940</v>
      </c>
    </row>
    <row r="161" spans="1:9" x14ac:dyDescent="0.25">
      <c r="A161" s="2"/>
      <c r="E161" s="40"/>
      <c r="G161" s="127"/>
      <c r="H161" s="127"/>
      <c r="I161" s="127"/>
    </row>
    <row r="162" spans="1:9" ht="16.5" thickBot="1" x14ac:dyDescent="0.3">
      <c r="A162" s="2" t="s">
        <v>362</v>
      </c>
      <c r="F162" s="42">
        <f>ROUND(F160*F158,0)</f>
        <v>3563</v>
      </c>
      <c r="G162" s="127"/>
      <c r="H162" s="127"/>
      <c r="I162" s="127"/>
    </row>
    <row r="163" spans="1:9" ht="16.5" thickTop="1" x14ac:dyDescent="0.25"/>
    <row r="164" spans="1:9" ht="16.5" thickBot="1" x14ac:dyDescent="0.3">
      <c r="E164" s="30" t="s">
        <v>252</v>
      </c>
      <c r="I164" s="45">
        <f>ROUND(F162,0)</f>
        <v>3563</v>
      </c>
    </row>
    <row r="165" spans="1:9" ht="16.5" thickTop="1" x14ac:dyDescent="0.25">
      <c r="E165" s="30"/>
      <c r="I165" s="159"/>
    </row>
    <row r="166" spans="1:9" x14ac:dyDescent="0.25">
      <c r="E166" s="30"/>
      <c r="I166" s="159"/>
    </row>
    <row r="167" spans="1:9" x14ac:dyDescent="0.25">
      <c r="A167" s="2" t="s">
        <v>363</v>
      </c>
      <c r="E167" s="40">
        <f>'Sch 5 - Inc Adj'!F17</f>
        <v>553</v>
      </c>
      <c r="I167" s="159"/>
    </row>
    <row r="168" spans="1:9" x14ac:dyDescent="0.25">
      <c r="A168" s="2" t="s">
        <v>364</v>
      </c>
      <c r="E168" s="40">
        <v>39</v>
      </c>
      <c r="I168" s="159"/>
    </row>
    <row r="169" spans="1:9" x14ac:dyDescent="0.25">
      <c r="A169" s="2" t="s">
        <v>365</v>
      </c>
      <c r="E169" s="129">
        <f>'Sch 5 - Inc Adj'!F60</f>
        <v>348</v>
      </c>
      <c r="I169" s="159"/>
    </row>
    <row r="170" spans="1:9" ht="16.5" thickBot="1" x14ac:dyDescent="0.3">
      <c r="A170" s="2"/>
      <c r="B170" s="2" t="s">
        <v>366</v>
      </c>
      <c r="E170" s="164">
        <f>SUM(E167:E169)</f>
        <v>940</v>
      </c>
      <c r="I170" s="159"/>
    </row>
    <row r="171" spans="1:9" ht="16.5" thickTop="1" x14ac:dyDescent="0.25"/>
    <row r="172" spans="1:9" x14ac:dyDescent="0.25">
      <c r="A172" s="225" t="s">
        <v>367</v>
      </c>
      <c r="B172" s="225"/>
      <c r="C172" s="225"/>
      <c r="D172" s="225"/>
      <c r="E172" s="225"/>
      <c r="F172" s="225"/>
      <c r="G172" s="225"/>
      <c r="H172" s="225"/>
      <c r="I172" s="225"/>
    </row>
    <row r="173" spans="1:9" x14ac:dyDescent="0.25">
      <c r="A173" s="226" t="s">
        <v>80</v>
      </c>
      <c r="B173" s="226"/>
      <c r="C173" s="226"/>
      <c r="D173" s="226"/>
      <c r="E173" s="226"/>
      <c r="F173" s="226"/>
      <c r="G173" s="226"/>
      <c r="H173" s="226"/>
      <c r="I173" s="226"/>
    </row>
    <row r="174" spans="1:9" x14ac:dyDescent="0.25">
      <c r="A174" s="2" t="s">
        <v>368</v>
      </c>
    </row>
    <row r="175" spans="1:9" x14ac:dyDescent="0.25">
      <c r="D175" s="203"/>
      <c r="E175" s="203"/>
      <c r="G175" s="203"/>
    </row>
    <row r="176" spans="1:9" x14ac:dyDescent="0.25">
      <c r="A176" s="2" t="s">
        <v>369</v>
      </c>
      <c r="E176" s="145">
        <f>H27</f>
        <v>739671</v>
      </c>
      <c r="G176" s="203"/>
    </row>
    <row r="177" spans="1:9" ht="16.5" thickBot="1" x14ac:dyDescent="0.3">
      <c r="A177" s="2" t="s">
        <v>309</v>
      </c>
      <c r="E177" s="80">
        <v>7.6499999999999999E-2</v>
      </c>
      <c r="G177" s="203"/>
    </row>
    <row r="178" spans="1:9" x14ac:dyDescent="0.25">
      <c r="B178" s="2" t="s">
        <v>370</v>
      </c>
      <c r="F178" s="68">
        <f>ROUND(E176*E177,0)</f>
        <v>56585</v>
      </c>
      <c r="G178" s="203"/>
    </row>
    <row r="179" spans="1:9" ht="16.5" thickBot="1" x14ac:dyDescent="0.3">
      <c r="B179" t="s">
        <v>303</v>
      </c>
      <c r="F179" s="75">
        <f>'Sch 4'!E63</f>
        <v>56307</v>
      </c>
      <c r="G179" s="67"/>
    </row>
    <row r="181" spans="1:9" ht="16.5" thickBot="1" x14ac:dyDescent="0.3">
      <c r="E181" s="30" t="s">
        <v>252</v>
      </c>
      <c r="I181" s="73">
        <f>ROUND(F178-F179,0)</f>
        <v>278</v>
      </c>
    </row>
    <row r="182" spans="1:9" ht="16.5" thickTop="1" x14ac:dyDescent="0.25"/>
  </sheetData>
  <mergeCells count="34">
    <mergeCell ref="A173:I173"/>
    <mergeCell ref="A79:I79"/>
    <mergeCell ref="A80:I80"/>
    <mergeCell ref="A97:I97"/>
    <mergeCell ref="A98:I98"/>
    <mergeCell ref="A107:I107"/>
    <mergeCell ref="A108:I108"/>
    <mergeCell ref="A148:I148"/>
    <mergeCell ref="A95:I95"/>
    <mergeCell ref="A172:I172"/>
    <mergeCell ref="A149:I149"/>
    <mergeCell ref="A116:I116"/>
    <mergeCell ref="A117:I117"/>
    <mergeCell ref="A129:I129"/>
    <mergeCell ref="A130:I130"/>
    <mergeCell ref="A143:I143"/>
    <mergeCell ref="A144:I144"/>
    <mergeCell ref="A146:I146"/>
    <mergeCell ref="A92:I92"/>
    <mergeCell ref="A93:I93"/>
    <mergeCell ref="B112:G112"/>
    <mergeCell ref="A4:I4"/>
    <mergeCell ref="A5:I5"/>
    <mergeCell ref="A7:I7"/>
    <mergeCell ref="A9:I9"/>
    <mergeCell ref="A10:I10"/>
    <mergeCell ref="A32:I32"/>
    <mergeCell ref="A58:I58"/>
    <mergeCell ref="A52:I52"/>
    <mergeCell ref="A33:I33"/>
    <mergeCell ref="A57:I57"/>
    <mergeCell ref="A53:I53"/>
    <mergeCell ref="A55:I55"/>
    <mergeCell ref="A34:I34"/>
  </mergeCells>
  <phoneticPr fontId="7" type="noConversion"/>
  <conditionalFormatting sqref="B133:B137 E138">
    <cfRule type="containsErrors" dxfId="0" priority="2" stopIfTrue="1">
      <formula>ISERROR(B133)</formula>
    </cfRule>
  </conditionalFormatting>
  <pageMargins left="0.75" right="0.75" top="1" bottom="1" header="0.5" footer="0.5"/>
  <pageSetup scale="86" fitToHeight="0" orientation="portrait" r:id="rId1"/>
  <headerFooter alignWithMargins="0"/>
  <rowBreaks count="3" manualBreakCount="3">
    <brk id="48" max="8" man="1"/>
    <brk id="88" max="8" man="1"/>
    <brk id="138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61"/>
    <pageSetUpPr fitToPage="1"/>
  </sheetPr>
  <dimension ref="A1:P32"/>
  <sheetViews>
    <sheetView view="pageBreakPreview" zoomScaleNormal="100" zoomScaleSheetLayoutView="100" zoomScalePageLayoutView="130" workbookViewId="0"/>
  </sheetViews>
  <sheetFormatPr defaultRowHeight="15.75" x14ac:dyDescent="0.25"/>
  <cols>
    <col min="1" max="1" width="2.625" customWidth="1"/>
    <col min="2" max="2" width="18.125" customWidth="1"/>
    <col min="3" max="3" width="2.375" customWidth="1"/>
    <col min="4" max="4" width="11.125" bestFit="1" customWidth="1"/>
    <col min="5" max="5" width="1.625" customWidth="1"/>
    <col min="6" max="6" width="11.125" bestFit="1" customWidth="1"/>
    <col min="7" max="7" width="1.625" customWidth="1"/>
    <col min="8" max="8" width="11.125" bestFit="1" customWidth="1"/>
    <col min="9" max="9" width="1.625" customWidth="1"/>
    <col min="10" max="10" width="14.875" customWidth="1"/>
    <col min="11" max="11" width="1.625" customWidth="1"/>
    <col min="12" max="12" width="12.125" style="2" bestFit="1" customWidth="1"/>
    <col min="13" max="13" width="1.625" style="2" customWidth="1"/>
    <col min="14" max="14" width="11.25" style="2" customWidth="1"/>
    <col min="15" max="15" width="8.625" style="2"/>
  </cols>
  <sheetData>
    <row r="1" spans="1:16" x14ac:dyDescent="0.25">
      <c r="A1" s="2"/>
      <c r="B1" s="2"/>
      <c r="C1" s="2"/>
      <c r="D1" s="2"/>
      <c r="E1" s="2"/>
      <c r="F1" s="2"/>
      <c r="G1" s="2"/>
      <c r="H1" s="2"/>
      <c r="I1" s="2"/>
      <c r="N1" s="16" t="str">
        <f>+'Sch 1'!I1</f>
        <v>OUCC</v>
      </c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N2" s="16" t="s">
        <v>371</v>
      </c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N3" s="16" t="s">
        <v>196</v>
      </c>
    </row>
    <row r="4" spans="1:16" ht="20.25" x14ac:dyDescent="0.3">
      <c r="A4" s="221" t="str">
        <f>+Inputs!$C$5</f>
        <v>Eastern Heights Utilities, Inc.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</row>
    <row r="5" spans="1:16" ht="18.75" x14ac:dyDescent="0.3">
      <c r="A5" s="217" t="str">
        <f>"CAUSE NUMBER "&amp;Inputs!$C$6</f>
        <v>CAUSE NUMBER 46084-U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</row>
    <row r="7" spans="1:16" x14ac:dyDescent="0.25">
      <c r="A7" s="222" t="s">
        <v>39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</row>
    <row r="8" spans="1:16" x14ac:dyDescent="0.25">
      <c r="K8" s="54"/>
      <c r="L8" s="30"/>
      <c r="M8" s="30"/>
      <c r="N8" s="30"/>
      <c r="O8" s="30"/>
      <c r="P8" s="54"/>
    </row>
    <row r="9" spans="1:16" ht="31.5" customHeight="1" thickBot="1" x14ac:dyDescent="0.3">
      <c r="A9" s="236" t="s">
        <v>372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30"/>
      <c r="N9" s="30"/>
      <c r="O9" s="30"/>
      <c r="P9" s="54"/>
    </row>
    <row r="10" spans="1:16" x14ac:dyDescent="0.25">
      <c r="D10" s="234" t="s">
        <v>373</v>
      </c>
      <c r="E10" s="220"/>
      <c r="F10" s="220"/>
      <c r="G10" s="220"/>
      <c r="H10" s="220"/>
      <c r="I10" s="220"/>
      <c r="J10" s="235"/>
      <c r="K10" s="54"/>
      <c r="L10" s="30"/>
      <c r="M10" s="30"/>
      <c r="N10" s="201" t="s">
        <v>27</v>
      </c>
      <c r="O10" s="30"/>
      <c r="P10" s="54"/>
    </row>
    <row r="11" spans="1:16" x14ac:dyDescent="0.25">
      <c r="D11" s="181" t="s">
        <v>374</v>
      </c>
      <c r="E11" s="201"/>
      <c r="F11" s="82" t="s">
        <v>375</v>
      </c>
      <c r="G11" s="201"/>
      <c r="H11" s="82" t="s">
        <v>376</v>
      </c>
      <c r="I11" s="201"/>
      <c r="J11" s="182" t="s">
        <v>377</v>
      </c>
      <c r="L11" s="82" t="s">
        <v>378</v>
      </c>
      <c r="N11" s="82" t="s">
        <v>36</v>
      </c>
    </row>
    <row r="12" spans="1:16" x14ac:dyDescent="0.25">
      <c r="D12" s="183"/>
      <c r="J12" s="184"/>
    </row>
    <row r="13" spans="1:16" ht="16.5" customHeight="1" x14ac:dyDescent="0.25">
      <c r="A13" t="s">
        <v>379</v>
      </c>
      <c r="D13" s="185">
        <v>225000</v>
      </c>
      <c r="E13" s="78"/>
      <c r="F13" s="78">
        <v>225000</v>
      </c>
      <c r="G13" s="78"/>
      <c r="H13" s="78">
        <v>225000</v>
      </c>
      <c r="I13" s="78"/>
      <c r="J13" s="186">
        <f>SUM(D13:I13)</f>
        <v>675000</v>
      </c>
      <c r="K13" s="54"/>
      <c r="L13" s="152">
        <v>675000</v>
      </c>
      <c r="N13" s="152">
        <f>+J13-L13</f>
        <v>0</v>
      </c>
      <c r="O13" s="30"/>
      <c r="P13" s="54"/>
    </row>
    <row r="14" spans="1:16" ht="16.5" hidden="1" customHeight="1" x14ac:dyDescent="0.25">
      <c r="A14" t="s">
        <v>380</v>
      </c>
      <c r="D14" s="187">
        <v>0</v>
      </c>
      <c r="E14" s="188"/>
      <c r="F14" s="188">
        <v>0</v>
      </c>
      <c r="G14" s="188"/>
      <c r="H14" s="188">
        <v>0</v>
      </c>
      <c r="J14" s="189">
        <f t="shared" ref="J14:J18" si="0">SUM(D14:I14)</f>
        <v>0</v>
      </c>
      <c r="K14" s="54"/>
      <c r="O14" s="30"/>
      <c r="P14" s="54"/>
    </row>
    <row r="15" spans="1:16" ht="16.5" customHeight="1" x14ac:dyDescent="0.25">
      <c r="A15" t="s">
        <v>381</v>
      </c>
      <c r="D15" s="190">
        <v>250000</v>
      </c>
      <c r="F15" s="123">
        <v>250000</v>
      </c>
      <c r="H15" s="123">
        <v>250000</v>
      </c>
      <c r="J15" s="189">
        <f>SUM(D15:I15)</f>
        <v>750000</v>
      </c>
      <c r="K15" s="54"/>
      <c r="L15" s="151">
        <v>750000</v>
      </c>
      <c r="M15" s="151"/>
      <c r="N15" s="151">
        <f>+J15-L15</f>
        <v>0</v>
      </c>
      <c r="O15" s="30"/>
      <c r="P15" s="54"/>
    </row>
    <row r="16" spans="1:16" ht="16.5" customHeight="1" x14ac:dyDescent="0.25">
      <c r="A16" t="s">
        <v>382</v>
      </c>
      <c r="D16" s="190">
        <v>30000</v>
      </c>
      <c r="F16" s="123">
        <v>30000</v>
      </c>
      <c r="H16" s="123">
        <v>30000</v>
      </c>
      <c r="J16" s="189">
        <f>SUM(D16:I16)</f>
        <v>90000</v>
      </c>
      <c r="K16" s="54"/>
      <c r="L16" s="151">
        <v>90000</v>
      </c>
      <c r="M16" s="151"/>
      <c r="N16" s="151">
        <f t="shared" ref="N16:N21" si="1">+J16-L16</f>
        <v>0</v>
      </c>
      <c r="O16" s="30"/>
      <c r="P16" s="54"/>
    </row>
    <row r="17" spans="1:16" ht="16.5" customHeight="1" x14ac:dyDescent="0.25">
      <c r="A17" s="2" t="s">
        <v>324</v>
      </c>
      <c r="D17" s="190">
        <v>0</v>
      </c>
      <c r="F17" s="123">
        <v>0</v>
      </c>
      <c r="H17" s="123">
        <v>0</v>
      </c>
      <c r="J17" s="189">
        <f t="shared" si="0"/>
        <v>0</v>
      </c>
      <c r="K17" s="54"/>
      <c r="L17" s="151">
        <v>63000</v>
      </c>
      <c r="M17" s="151"/>
      <c r="N17" s="151">
        <f t="shared" si="1"/>
        <v>-63000</v>
      </c>
      <c r="O17" s="30"/>
      <c r="P17" s="54"/>
    </row>
    <row r="18" spans="1:16" ht="16.5" customHeight="1" x14ac:dyDescent="0.25">
      <c r="A18" t="s">
        <v>383</v>
      </c>
      <c r="D18" s="190">
        <v>0</v>
      </c>
      <c r="F18" s="123">
        <v>0</v>
      </c>
      <c r="H18" s="123">
        <v>0</v>
      </c>
      <c r="J18" s="189">
        <f t="shared" si="0"/>
        <v>0</v>
      </c>
      <c r="K18" s="54"/>
      <c r="L18" s="151">
        <v>72700</v>
      </c>
      <c r="M18" s="151"/>
      <c r="N18" s="151">
        <f t="shared" si="1"/>
        <v>-72700</v>
      </c>
      <c r="O18" s="30"/>
      <c r="P18" s="54"/>
    </row>
    <row r="19" spans="1:16" ht="16.5" customHeight="1" x14ac:dyDescent="0.25">
      <c r="A19" t="s">
        <v>384</v>
      </c>
      <c r="D19" s="190">
        <v>88000</v>
      </c>
      <c r="F19" s="123">
        <v>88000</v>
      </c>
      <c r="H19" s="123">
        <v>88000</v>
      </c>
      <c r="J19" s="189">
        <f>SUM(D19:I19)</f>
        <v>264000</v>
      </c>
      <c r="K19" s="54"/>
      <c r="L19" s="151">
        <v>264000</v>
      </c>
      <c r="M19" s="151"/>
      <c r="N19" s="151">
        <f t="shared" si="1"/>
        <v>0</v>
      </c>
      <c r="O19" s="30"/>
      <c r="P19" s="54"/>
    </row>
    <row r="20" spans="1:16" ht="16.5" customHeight="1" x14ac:dyDescent="0.25">
      <c r="A20" t="s">
        <v>385</v>
      </c>
      <c r="D20" s="190">
        <v>8000</v>
      </c>
      <c r="F20" s="123">
        <v>8000</v>
      </c>
      <c r="H20" s="123">
        <v>8000</v>
      </c>
      <c r="J20" s="189">
        <f>SUM(D20:I20)</f>
        <v>24000</v>
      </c>
      <c r="K20" s="54"/>
      <c r="L20" s="151">
        <v>24000</v>
      </c>
      <c r="M20" s="151"/>
      <c r="N20" s="151">
        <f t="shared" si="1"/>
        <v>0</v>
      </c>
      <c r="O20" s="30"/>
      <c r="P20" s="54"/>
    </row>
    <row r="21" spans="1:16" ht="16.5" customHeight="1" x14ac:dyDescent="0.25">
      <c r="A21" t="s">
        <v>386</v>
      </c>
      <c r="D21" s="190">
        <v>146250</v>
      </c>
      <c r="F21" s="123">
        <v>146250</v>
      </c>
      <c r="H21" s="123">
        <v>146250</v>
      </c>
      <c r="J21" s="189">
        <f>SUM(D21:I21)</f>
        <v>438750</v>
      </c>
      <c r="L21" s="5">
        <v>438750</v>
      </c>
      <c r="M21" s="5"/>
      <c r="N21" s="151">
        <f t="shared" si="1"/>
        <v>0</v>
      </c>
    </row>
    <row r="22" spans="1:16" ht="6.95" customHeight="1" x14ac:dyDescent="0.25">
      <c r="D22" s="183"/>
      <c r="J22" s="189"/>
      <c r="L22" s="5"/>
      <c r="M22" s="5"/>
      <c r="N22" s="5"/>
    </row>
    <row r="23" spans="1:16" ht="16.5" thickBot="1" x14ac:dyDescent="0.3">
      <c r="D23" s="191">
        <f>SUM(D13:D22)</f>
        <v>747250</v>
      </c>
      <c r="F23" s="120">
        <f>SUM(F13:F22)</f>
        <v>747250</v>
      </c>
      <c r="H23" s="120">
        <f>SUM(H13:H22)</f>
        <v>747250</v>
      </c>
      <c r="J23" s="192">
        <f>SUM(J13:J22)</f>
        <v>2241750</v>
      </c>
      <c r="L23" s="121">
        <f>SUM(L13:L22)</f>
        <v>2377450</v>
      </c>
      <c r="M23" s="5"/>
      <c r="N23" s="121">
        <f>SUM(N13:N22)</f>
        <v>-135700</v>
      </c>
    </row>
    <row r="24" spans="1:16" ht="16.5" thickTop="1" x14ac:dyDescent="0.25">
      <c r="D24" s="183"/>
      <c r="J24" s="184"/>
    </row>
    <row r="25" spans="1:16" x14ac:dyDescent="0.25">
      <c r="D25" s="183"/>
      <c r="H25" s="25" t="s">
        <v>387</v>
      </c>
      <c r="J25" s="193">
        <v>-150000</v>
      </c>
      <c r="L25" s="148">
        <v>0</v>
      </c>
      <c r="N25" s="148">
        <f>+J25-L25</f>
        <v>-150000</v>
      </c>
    </row>
    <row r="26" spans="1:16" x14ac:dyDescent="0.25">
      <c r="D26" s="183"/>
      <c r="J26" s="184"/>
    </row>
    <row r="27" spans="1:16" x14ac:dyDescent="0.25">
      <c r="D27" s="183"/>
      <c r="H27" s="25" t="s">
        <v>388</v>
      </c>
      <c r="J27" s="194">
        <f>J23+J25</f>
        <v>2091750</v>
      </c>
      <c r="L27" s="24">
        <f>L23+L25</f>
        <v>2377450</v>
      </c>
      <c r="N27" s="24">
        <f>N23+N25</f>
        <v>-285700</v>
      </c>
    </row>
    <row r="28" spans="1:16" x14ac:dyDescent="0.25">
      <c r="D28" s="183"/>
      <c r="J28" s="184"/>
    </row>
    <row r="29" spans="1:16" x14ac:dyDescent="0.25">
      <c r="D29" s="183"/>
      <c r="H29" s="16" t="s">
        <v>389</v>
      </c>
      <c r="J29" s="195">
        <v>3</v>
      </c>
      <c r="K29" s="54"/>
      <c r="L29" s="72">
        <v>3</v>
      </c>
      <c r="M29" s="54"/>
      <c r="N29" s="72">
        <v>3</v>
      </c>
      <c r="O29" s="54"/>
    </row>
    <row r="30" spans="1:16" x14ac:dyDescent="0.25">
      <c r="D30" s="183"/>
      <c r="J30" s="184"/>
      <c r="K30" s="54"/>
      <c r="L30"/>
      <c r="M30" s="54"/>
      <c r="N30"/>
      <c r="O30" s="54"/>
    </row>
    <row r="31" spans="1:16" ht="16.5" thickBot="1" x14ac:dyDescent="0.3">
      <c r="D31" s="183"/>
      <c r="H31" s="200" t="s">
        <v>390</v>
      </c>
      <c r="J31" s="196">
        <f>ROUND(J27/J29,0)</f>
        <v>697250</v>
      </c>
      <c r="K31" s="54"/>
      <c r="L31" s="42">
        <f>ROUND(L27/L29,0)</f>
        <v>792483</v>
      </c>
      <c r="M31" s="54"/>
      <c r="N31" s="42">
        <f>ROUND(N27/N29,0)</f>
        <v>-95233</v>
      </c>
      <c r="O31" s="54"/>
    </row>
    <row r="32" spans="1:16" ht="17.25" thickTop="1" thickBot="1" x14ac:dyDescent="0.3">
      <c r="D32" s="197"/>
      <c r="E32" s="198"/>
      <c r="F32" s="198"/>
      <c r="G32" s="198"/>
      <c r="H32" s="198"/>
      <c r="I32" s="198"/>
      <c r="J32" s="199"/>
    </row>
  </sheetData>
  <mergeCells count="5">
    <mergeCell ref="D10:J10"/>
    <mergeCell ref="A4:M4"/>
    <mergeCell ref="A5:M5"/>
    <mergeCell ref="A7:M7"/>
    <mergeCell ref="A9:L9"/>
  </mergeCells>
  <phoneticPr fontId="7" type="noConversion"/>
  <printOptions horizontalCentered="1"/>
  <pageMargins left="0.5" right="0.5" top="0.75" bottom="0.5" header="0.5" footer="0.5"/>
  <pageSetup scale="87" orientation="portrait" horizontalDpi="90" verticalDpi="9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db5066c-6899-482b-9ea0-5145f9da9989" xsi:nil="true"/>
    <_ip_UnifiedCompliancePolicyProperties xmlns="http://schemas.microsoft.com/sharepoint/v3" xsi:nil="true"/>
    <lcf76f155ced4ddcb4097134ff3c332f xmlns="f5536f26-5d7e-4d2b-a510-6667eeb1ad7c">
      <Terms xmlns="http://schemas.microsoft.com/office/infopath/2007/PartnerControls"/>
    </lcf76f155ced4ddcb4097134ff3c332f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6" ma:contentTypeDescription="Create a new document." ma:contentTypeScope="" ma:versionID="74c5940f497891f254bc15682dd452d1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fe85ad5fc585b86e243c3c53079c0e90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DB066-4825-402B-86CD-8D4E83D1F3F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db5066c-6899-482b-9ea0-5145f9da9989"/>
    <ds:schemaRef ds:uri="7558938a-8a22-4524-afb0-58b165029303"/>
  </ds:schemaRefs>
</ds:datastoreItem>
</file>

<file path=customXml/itemProps2.xml><?xml version="1.0" encoding="utf-8"?>
<ds:datastoreItem xmlns:ds="http://schemas.openxmlformats.org/officeDocument/2006/customXml" ds:itemID="{21B5B59A-7CBB-46C0-ABFD-CF0A33263B13}"/>
</file>

<file path=customXml/itemProps3.xml><?xml version="1.0" encoding="utf-8"?>
<ds:datastoreItem xmlns:ds="http://schemas.openxmlformats.org/officeDocument/2006/customXml" ds:itemID="{2D8BC606-F102-4280-A850-F766A5AC030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Cover Page</vt:lpstr>
      <vt:lpstr>Inputs</vt:lpstr>
      <vt:lpstr>Sch 1</vt:lpstr>
      <vt:lpstr>Sch 2 - BS</vt:lpstr>
      <vt:lpstr>Sch 3 - IS</vt:lpstr>
      <vt:lpstr>Sch 4</vt:lpstr>
      <vt:lpstr>Sch 5 - Inc Adj</vt:lpstr>
      <vt:lpstr>Sch 6 - Exp Adj</vt:lpstr>
      <vt:lpstr>Sch 7 - E&amp;R</vt:lpstr>
      <vt:lpstr>Sch 8 - Working Captial</vt:lpstr>
      <vt:lpstr>Sch 9 - Debt Service</vt:lpstr>
      <vt:lpstr>Sch 10 - Debt Service Reserve</vt:lpstr>
      <vt:lpstr>Sch 11 - Tariff</vt:lpstr>
      <vt:lpstr>Workpapers</vt:lpstr>
      <vt:lpstr>Rev Req Comparison</vt:lpstr>
      <vt:lpstr>'Rev Req Comparison'!Print_Area</vt:lpstr>
      <vt:lpstr>'Sch 1'!Print_Area</vt:lpstr>
      <vt:lpstr>'Sch 10 - Debt Service Reserve'!Print_Area</vt:lpstr>
      <vt:lpstr>'Sch 11 - Tariff'!Print_Area</vt:lpstr>
      <vt:lpstr>'Sch 2 - BS'!Print_Area</vt:lpstr>
      <vt:lpstr>'Sch 3 - IS'!Print_Area</vt:lpstr>
      <vt:lpstr>'Sch 4'!Print_Area</vt:lpstr>
      <vt:lpstr>'Sch 5 - Inc Adj'!Print_Area</vt:lpstr>
      <vt:lpstr>'Sch 6 - Exp Adj'!Print_Area</vt:lpstr>
      <vt:lpstr>'Sch 7 - E&amp;R'!Print_Area</vt:lpstr>
      <vt:lpstr>'Sch 8 - Working Captial'!Print_Area</vt:lpstr>
      <vt:lpstr>'Sch 9 - Debt Service'!Print_Area</vt:lpstr>
    </vt:vector>
  </TitlesOfParts>
  <Manager/>
  <Company>State of Indiana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Indiana</dc:creator>
  <cp:keywords/>
  <dc:description/>
  <cp:lastModifiedBy>Wanzer, Hannah</cp:lastModifiedBy>
  <cp:revision/>
  <dcterms:created xsi:type="dcterms:W3CDTF">2006-03-07T16:03:17Z</dcterms:created>
  <dcterms:modified xsi:type="dcterms:W3CDTF">2024-09-23T15:16:10Z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{8424872E-A900-4ED6-9FE0-9F1D2F28BC3A}</vt:lpwstr>
  </property>
  <property fmtid="{D5CDD505-2E9C-101B-9397-08002B2CF9AE}" pid="3" name="ContentTypeId">
    <vt:lpwstr>0x01010017F62C1BAB7D1B4998D0BFFEC59B8AD2</vt:lpwstr>
  </property>
  <property fmtid="{D5CDD505-2E9C-101B-9397-08002B2CF9AE}" pid="4" name="MediaServiceImageTags">
    <vt:lpwstr/>
  </property>
</Properties>
</file>