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namedSheetViews/namedSheetView2.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https://ingov-my.sharepoint.com/personal/sthunter_urc_in_gov/Documents/Desktop/Filings for the Day/"/>
    </mc:Choice>
  </mc:AlternateContent>
  <xr:revisionPtr revIDLastSave="1" documentId="8_{4090E47E-9ED2-4476-BB9D-9AD2AE7451B8}" xr6:coauthVersionLast="47" xr6:coauthVersionMax="47" xr10:uidLastSave="{1939911C-E7E2-4FC3-AA4D-02B28A684872}"/>
  <bookViews>
    <workbookView xWindow="-24120" yWindow="615" windowWidth="24240" windowHeight="13140" xr2:uid="{664D3DA7-3572-41D5-AEAB-CDD1614F9008}"/>
  </bookViews>
  <sheets>
    <sheet name="Cover Page" sheetId="12" r:id="rId1"/>
    <sheet name="SAH-2" sheetId="9" r:id="rId2"/>
    <sheet name="SAH-3" sheetId="7" r:id="rId3"/>
    <sheet name="SAH-4 (Public)" sheetId="1" r:id="rId4"/>
    <sheet name="SAH-5 (Public)" sheetId="2" r:id="rId5"/>
    <sheet name="SAH-6 (Public)" sheetId="3" r:id="rId6"/>
    <sheet name="SAH-7 (Public)" sheetId="5" r:id="rId7"/>
    <sheet name="SAH-8 (Public)" sheetId="13" r:id="rId8"/>
    <sheet name="SAH-9 (Public)" sheetId="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3" hidden="1">'SAH-4 (Public)'!$A$6:$J$38</definedName>
    <definedName name="_xlnm._FilterDatabase" localSheetId="4" hidden="1">'SAH-5 (Public)'!$A$6:$J$154</definedName>
    <definedName name="_xlnm._FilterDatabase" localSheetId="5" hidden="1">'SAH-6 (Public)'!$A$6:$J$70</definedName>
    <definedName name="_xlnm._FilterDatabase" localSheetId="6" hidden="1">'SAH-7 (Public)'!$A$6:$J$117</definedName>
    <definedName name="_xlnm._FilterDatabase" localSheetId="7" hidden="1">'SAH-8 (Public)'!$A$6:$BJ$242</definedName>
    <definedName name="_xlnm._FilterDatabase" localSheetId="8" hidden="1">'SAH-9 (Public)'!$A$6:$J$56</definedName>
    <definedName name="_Order1" hidden="1">255</definedName>
    <definedName name="_Order2" hidden="1">255</definedName>
    <definedName name="ABB_coal_HV" localSheetId="1">#REF!</definedName>
    <definedName name="ABB_coal_HV" localSheetId="2">#REF!</definedName>
    <definedName name="ABB_coal_HV" localSheetId="3">#REF!</definedName>
    <definedName name="ABB_coal_HV" localSheetId="4">#REF!</definedName>
    <definedName name="ABB_coal_HV" localSheetId="5">#REF!</definedName>
    <definedName name="ABB_coal_HV" localSheetId="6">#REF!</definedName>
    <definedName name="ABB_coal_HV" localSheetId="7">#REF!</definedName>
    <definedName name="ABB_coal_HV" localSheetId="8">#REF!</definedName>
    <definedName name="ABB_coal_HV">#REF!</definedName>
    <definedName name="ABB_coal_price" localSheetId="1">#REF!</definedName>
    <definedName name="ABB_coal_price" localSheetId="2">#REF!</definedName>
    <definedName name="ABB_coal_price" localSheetId="3">#REF!</definedName>
    <definedName name="ABB_coal_price" localSheetId="4">#REF!</definedName>
    <definedName name="ABB_coal_price" localSheetId="5">#REF!</definedName>
    <definedName name="ABB_coal_price" localSheetId="6">#REF!</definedName>
    <definedName name="ABB_coal_price" localSheetId="7">#REF!</definedName>
    <definedName name="ABB_coal_price" localSheetId="8">#REF!</definedName>
    <definedName name="ABB_coal_price">#REF!</definedName>
    <definedName name="ABB_coal_S" localSheetId="1">#REF!</definedName>
    <definedName name="ABB_coal_S" localSheetId="2">#REF!</definedName>
    <definedName name="ABB_coal_S" localSheetId="3">#REF!</definedName>
    <definedName name="ABB_coal_S" localSheetId="4">#REF!</definedName>
    <definedName name="ABB_coal_S" localSheetId="5">#REF!</definedName>
    <definedName name="ABB_coal_S" localSheetId="6">#REF!</definedName>
    <definedName name="ABB_coal_S" localSheetId="7">#REF!</definedName>
    <definedName name="ABB_coal_S" localSheetId="8">#REF!</definedName>
    <definedName name="ABB_coal_S">#REF!</definedName>
    <definedName name="ABB1_erate" localSheetId="1">#REF!</definedName>
    <definedName name="ABB1_erate" localSheetId="2">#REF!</definedName>
    <definedName name="ABB1_erate" localSheetId="3">#REF!</definedName>
    <definedName name="ABB1_erate" localSheetId="4">#REF!</definedName>
    <definedName name="ABB1_erate" localSheetId="5">#REF!</definedName>
    <definedName name="ABB1_erate" localSheetId="6">#REF!</definedName>
    <definedName name="ABB1_erate" localSheetId="7">#REF!</definedName>
    <definedName name="ABB1_erate" localSheetId="8">#REF!</definedName>
    <definedName name="ABB1_erate">#REF!</definedName>
    <definedName name="ABB1_lm_rate" localSheetId="1">#REF!</definedName>
    <definedName name="ABB1_lm_rate" localSheetId="2">#REF!</definedName>
    <definedName name="ABB1_lm_rate" localSheetId="3">#REF!</definedName>
    <definedName name="ABB1_lm_rate" localSheetId="4">#REF!</definedName>
    <definedName name="ABB1_lm_rate" localSheetId="5">#REF!</definedName>
    <definedName name="ABB1_lm_rate" localSheetId="6">#REF!</definedName>
    <definedName name="ABB1_lm_rate" localSheetId="7">#REF!</definedName>
    <definedName name="ABB1_lm_rate" localSheetId="8">#REF!</definedName>
    <definedName name="ABB1_lm_rate">#REF!</definedName>
    <definedName name="ABB1_lp_price" localSheetId="1">#REF!</definedName>
    <definedName name="ABB1_lp_price" localSheetId="2">#REF!</definedName>
    <definedName name="ABB1_lp_price" localSheetId="3">#REF!</definedName>
    <definedName name="ABB1_lp_price" localSheetId="4">#REF!</definedName>
    <definedName name="ABB1_lp_price" localSheetId="5">#REF!</definedName>
    <definedName name="ABB1_lp_price" localSheetId="6">#REF!</definedName>
    <definedName name="ABB1_lp_price" localSheetId="7">#REF!</definedName>
    <definedName name="ABB1_lp_price" localSheetId="8">#REF!</definedName>
    <definedName name="ABB1_lp_price">#REF!</definedName>
    <definedName name="ABB1_lp_rate" localSheetId="1">#REF!</definedName>
    <definedName name="ABB1_lp_rate" localSheetId="2">#REF!</definedName>
    <definedName name="ABB1_lp_rate" localSheetId="3">#REF!</definedName>
    <definedName name="ABB1_lp_rate" localSheetId="4">#REF!</definedName>
    <definedName name="ABB1_lp_rate" localSheetId="5">#REF!</definedName>
    <definedName name="ABB1_lp_rate" localSheetId="6">#REF!</definedName>
    <definedName name="ABB1_lp_rate" localSheetId="7">#REF!</definedName>
    <definedName name="ABB1_lp_rate" localSheetId="8">#REF!</definedName>
    <definedName name="ABB1_lp_rate">#REF!</definedName>
    <definedName name="ABB1_sa_lp" localSheetId="1">#REF!</definedName>
    <definedName name="ABB1_sa_lp" localSheetId="2">#REF!</definedName>
    <definedName name="ABB1_sa_lp" localSheetId="3">#REF!</definedName>
    <definedName name="ABB1_sa_lp" localSheetId="4">#REF!</definedName>
    <definedName name="ABB1_sa_lp" localSheetId="5">#REF!</definedName>
    <definedName name="ABB1_sa_lp" localSheetId="6">#REF!</definedName>
    <definedName name="ABB1_sa_lp" localSheetId="7">#REF!</definedName>
    <definedName name="ABB1_sa_lp" localSheetId="8">#REF!</definedName>
    <definedName name="ABB1_sa_lp">#REF!</definedName>
    <definedName name="ABB1_sa_rate" localSheetId="1">#REF!</definedName>
    <definedName name="ABB1_sa_rate" localSheetId="2">#REF!</definedName>
    <definedName name="ABB1_sa_rate" localSheetId="3">#REF!</definedName>
    <definedName name="ABB1_sa_rate" localSheetId="4">#REF!</definedName>
    <definedName name="ABB1_sa_rate" localSheetId="5">#REF!</definedName>
    <definedName name="ABB1_sa_rate" localSheetId="6">#REF!</definedName>
    <definedName name="ABB1_sa_rate" localSheetId="7">#REF!</definedName>
    <definedName name="ABB1_sa_rate" localSheetId="8">#REF!</definedName>
    <definedName name="ABB1_sa_rate">#REF!</definedName>
    <definedName name="ABB2_erate" localSheetId="1">#REF!</definedName>
    <definedName name="ABB2_erate" localSheetId="2">#REF!</definedName>
    <definedName name="ABB2_erate" localSheetId="3">#REF!</definedName>
    <definedName name="ABB2_erate" localSheetId="4">#REF!</definedName>
    <definedName name="ABB2_erate" localSheetId="5">#REF!</definedName>
    <definedName name="ABB2_erate" localSheetId="6">#REF!</definedName>
    <definedName name="ABB2_erate" localSheetId="7">#REF!</definedName>
    <definedName name="ABB2_erate" localSheetId="8">#REF!</definedName>
    <definedName name="ABB2_erate">#REF!</definedName>
    <definedName name="ABB2_lm_rate" localSheetId="1">#REF!</definedName>
    <definedName name="ABB2_lm_rate" localSheetId="2">#REF!</definedName>
    <definedName name="ABB2_lm_rate" localSheetId="3">#REF!</definedName>
    <definedName name="ABB2_lm_rate" localSheetId="4">#REF!</definedName>
    <definedName name="ABB2_lm_rate" localSheetId="5">#REF!</definedName>
    <definedName name="ABB2_lm_rate" localSheetId="6">#REF!</definedName>
    <definedName name="ABB2_lm_rate" localSheetId="7">#REF!</definedName>
    <definedName name="ABB2_lm_rate" localSheetId="8">#REF!</definedName>
    <definedName name="ABB2_lm_rate">#REF!</definedName>
    <definedName name="ABB2_sa_rate" localSheetId="1">#REF!</definedName>
    <definedName name="ABB2_sa_rate" localSheetId="2">#REF!</definedName>
    <definedName name="ABB2_sa_rate" localSheetId="3">#REF!</definedName>
    <definedName name="ABB2_sa_rate" localSheetId="4">#REF!</definedName>
    <definedName name="ABB2_sa_rate" localSheetId="5">#REF!</definedName>
    <definedName name="ABB2_sa_rate" localSheetId="6">#REF!</definedName>
    <definedName name="ABB2_sa_rate" localSheetId="7">#REF!</definedName>
    <definedName name="ABB2_sa_rate" localSheetId="8">#REF!</definedName>
    <definedName name="ABB2_sa_rate">#REF!</definedName>
    <definedName name="ACCOUNTEDPERIODTYPE1" localSheetId="1">#REF!</definedName>
    <definedName name="ACCOUNTEDPERIODTYPE1" localSheetId="2">#REF!</definedName>
    <definedName name="ACCOUNTEDPERIODTYPE1" localSheetId="3">#REF!</definedName>
    <definedName name="ACCOUNTEDPERIODTYPE1" localSheetId="4">#REF!</definedName>
    <definedName name="ACCOUNTEDPERIODTYPE1" localSheetId="5">#REF!</definedName>
    <definedName name="ACCOUNTEDPERIODTYPE1" localSheetId="6">#REF!</definedName>
    <definedName name="ACCOUNTEDPERIODTYPE1" localSheetId="7">#REF!</definedName>
    <definedName name="ACCOUNTEDPERIODTYPE1" localSheetId="8">#REF!</definedName>
    <definedName name="ACCOUNTEDPERIODTYPE1">#REF!</definedName>
    <definedName name="ACCOUNTSEGMENT1" localSheetId="1">#REF!</definedName>
    <definedName name="ACCOUNTSEGMENT1" localSheetId="2">#REF!</definedName>
    <definedName name="ACCOUNTSEGMENT1" localSheetId="3">#REF!</definedName>
    <definedName name="ACCOUNTSEGMENT1" localSheetId="4">#REF!</definedName>
    <definedName name="ACCOUNTSEGMENT1" localSheetId="5">#REF!</definedName>
    <definedName name="ACCOUNTSEGMENT1" localSheetId="6">#REF!</definedName>
    <definedName name="ACCOUNTSEGMENT1" localSheetId="7">#REF!</definedName>
    <definedName name="ACCOUNTSEGMENT1" localSheetId="8">#REF!</definedName>
    <definedName name="ACCOUNTSEGMENT1">#REF!</definedName>
    <definedName name="APPSUSERNAME1" localSheetId="1">#REF!</definedName>
    <definedName name="APPSUSERNAME1" localSheetId="2">#REF!</definedName>
    <definedName name="APPSUSERNAME1" localSheetId="3">#REF!</definedName>
    <definedName name="APPSUSERNAME1" localSheetId="4">#REF!</definedName>
    <definedName name="APPSUSERNAME1" localSheetId="5">#REF!</definedName>
    <definedName name="APPSUSERNAME1" localSheetId="6">#REF!</definedName>
    <definedName name="APPSUSERNAME1" localSheetId="7">#REF!</definedName>
    <definedName name="APPSUSERNAME1" localSheetId="8">#REF!</definedName>
    <definedName name="APPSUSERNAME1">#REF!</definedName>
    <definedName name="aprgas" localSheetId="1">#REF!</definedName>
    <definedName name="aprgas" localSheetId="2">#REF!</definedName>
    <definedName name="aprgas" localSheetId="3">#REF!</definedName>
    <definedName name="aprgas" localSheetId="4">#REF!</definedName>
    <definedName name="aprgas" localSheetId="5">#REF!</definedName>
    <definedName name="aprgas" localSheetId="6">#REF!</definedName>
    <definedName name="aprgas" localSheetId="7">#REF!</definedName>
    <definedName name="aprgas" localSheetId="8">#REF!</definedName>
    <definedName name="aprgas">#REF!</definedName>
    <definedName name="Asset" localSheetId="1">'[1]Source Data'!$B$669:$B$681</definedName>
    <definedName name="Asset" localSheetId="2">'[1]Source Data'!$B$669:$B$681</definedName>
    <definedName name="Asset" localSheetId="7">'[2]Source Data'!$B$669:$B$681</definedName>
    <definedName name="Asset">'[3]Source Data'!$B$669:$B$681</definedName>
    <definedName name="Asset_Type_Score" localSheetId="1">'[1]Source Data'!$B$669:$C$681</definedName>
    <definedName name="Asset_Type_Score" localSheetId="2">'[1]Source Data'!$B$669:$C$681</definedName>
    <definedName name="Asset_Type_Score" localSheetId="7">'[2]Source Data'!$B$669:$C$681</definedName>
    <definedName name="Asset_Type_Score">'[3]Source Data'!$B$669:$C$681</definedName>
    <definedName name="auggas" localSheetId="1">#REF!</definedName>
    <definedName name="auggas" localSheetId="2">#REF!</definedName>
    <definedName name="auggas" localSheetId="3">#REF!</definedName>
    <definedName name="auggas" localSheetId="4">#REF!</definedName>
    <definedName name="auggas" localSheetId="5">#REF!</definedName>
    <definedName name="auggas" localSheetId="6">#REF!</definedName>
    <definedName name="auggas" localSheetId="7">#REF!</definedName>
    <definedName name="auggas" localSheetId="8">#REF!</definedName>
    <definedName name="auggas">#REF!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bb" localSheetId="1">#REF!</definedName>
    <definedName name="bb" localSheetId="2">#REF!</definedName>
    <definedName name="bb" localSheetId="3">#REF!</definedName>
    <definedName name="bb" localSheetId="4">#REF!</definedName>
    <definedName name="bb" localSheetId="5">#REF!</definedName>
    <definedName name="bb" localSheetId="6">#REF!</definedName>
    <definedName name="bb" localSheetId="7">#REF!</definedName>
    <definedName name="bb" localSheetId="8">#REF!</definedName>
    <definedName name="bb">#REF!</definedName>
    <definedName name="BUDGETCURRENCYCODE1" localSheetId="1">#REF!</definedName>
    <definedName name="BUDGETCURRENCYCODE1" localSheetId="2">#REF!</definedName>
    <definedName name="BUDGETCURRENCYCODE1" localSheetId="3">#REF!</definedName>
    <definedName name="BUDGETCURRENCYCODE1" localSheetId="4">#REF!</definedName>
    <definedName name="BUDGETCURRENCYCODE1" localSheetId="5">#REF!</definedName>
    <definedName name="BUDGETCURRENCYCODE1" localSheetId="6">#REF!</definedName>
    <definedName name="BUDGETCURRENCYCODE1" localSheetId="7">#REF!</definedName>
    <definedName name="BUDGETCURRENCYCODE1" localSheetId="8">#REF!</definedName>
    <definedName name="BUDGETCURRENCYCODE1">#REF!</definedName>
    <definedName name="BUDGETDECIMALPLACES1" localSheetId="1">#REF!</definedName>
    <definedName name="BUDGETDECIMALPLACES1" localSheetId="2">#REF!</definedName>
    <definedName name="BUDGETDECIMALPLACES1" localSheetId="3">#REF!</definedName>
    <definedName name="BUDGETDECIMALPLACES1" localSheetId="4">#REF!</definedName>
    <definedName name="BUDGETDECIMALPLACES1" localSheetId="5">#REF!</definedName>
    <definedName name="BUDGETDECIMALPLACES1" localSheetId="6">#REF!</definedName>
    <definedName name="BUDGETDECIMALPLACES1" localSheetId="7">#REF!</definedName>
    <definedName name="BUDGETDECIMALPLACES1" localSheetId="8">#REF!</definedName>
    <definedName name="BUDGETDECIMALPLACES1">#REF!</definedName>
    <definedName name="BUDGETENTITYID1" localSheetId="1">#REF!</definedName>
    <definedName name="BUDGETENTITYID1" localSheetId="2">#REF!</definedName>
    <definedName name="BUDGETENTITYID1" localSheetId="3">#REF!</definedName>
    <definedName name="BUDGETENTITYID1" localSheetId="4">#REF!</definedName>
    <definedName name="BUDGETENTITYID1" localSheetId="5">#REF!</definedName>
    <definedName name="BUDGETENTITYID1" localSheetId="6">#REF!</definedName>
    <definedName name="BUDGETENTITYID1" localSheetId="7">#REF!</definedName>
    <definedName name="BUDGETENTITYID1" localSheetId="8">#REF!</definedName>
    <definedName name="BUDGETENTITYID1">#REF!</definedName>
    <definedName name="BUDGETGRAPHCORRESPONDING1" localSheetId="1">#REF!</definedName>
    <definedName name="BUDGETGRAPHCORRESPONDING1" localSheetId="2">#REF!</definedName>
    <definedName name="BUDGETGRAPHCORRESPONDING1" localSheetId="3">#REF!</definedName>
    <definedName name="BUDGETGRAPHCORRESPONDING1" localSheetId="4">#REF!</definedName>
    <definedName name="BUDGETGRAPHCORRESPONDING1" localSheetId="5">#REF!</definedName>
    <definedName name="BUDGETGRAPHCORRESPONDING1" localSheetId="6">#REF!</definedName>
    <definedName name="BUDGETGRAPHCORRESPONDING1" localSheetId="7">#REF!</definedName>
    <definedName name="BUDGETGRAPHCORRESPONDING1" localSheetId="8">#REF!</definedName>
    <definedName name="BUDGETGRAPHCORRESPONDING1">#REF!</definedName>
    <definedName name="BUDGETGRAPHINCACTUALS1" localSheetId="1">#REF!</definedName>
    <definedName name="BUDGETGRAPHINCACTUALS1" localSheetId="2">#REF!</definedName>
    <definedName name="BUDGETGRAPHINCACTUALS1" localSheetId="3">#REF!</definedName>
    <definedName name="BUDGETGRAPHINCACTUALS1" localSheetId="4">#REF!</definedName>
    <definedName name="BUDGETGRAPHINCACTUALS1" localSheetId="5">#REF!</definedName>
    <definedName name="BUDGETGRAPHINCACTUALS1" localSheetId="6">#REF!</definedName>
    <definedName name="BUDGETGRAPHINCACTUALS1" localSheetId="7">#REF!</definedName>
    <definedName name="BUDGETGRAPHINCACTUALS1" localSheetId="8">#REF!</definedName>
    <definedName name="BUDGETGRAPHINCACTUALS1">#REF!</definedName>
    <definedName name="BUDGETGRAPHINCBUDGETS1" localSheetId="1">#REF!</definedName>
    <definedName name="BUDGETGRAPHINCBUDGETS1" localSheetId="2">#REF!</definedName>
    <definedName name="BUDGETGRAPHINCBUDGETS1" localSheetId="3">#REF!</definedName>
    <definedName name="BUDGETGRAPHINCBUDGETS1" localSheetId="4">#REF!</definedName>
    <definedName name="BUDGETGRAPHINCBUDGETS1" localSheetId="5">#REF!</definedName>
    <definedName name="BUDGETGRAPHINCBUDGETS1" localSheetId="6">#REF!</definedName>
    <definedName name="BUDGETGRAPHINCBUDGETS1" localSheetId="7">#REF!</definedName>
    <definedName name="BUDGETGRAPHINCBUDGETS1" localSheetId="8">#REF!</definedName>
    <definedName name="BUDGETGRAPHINCBUDGETS1">#REF!</definedName>
    <definedName name="BUDGETGRAPHINCTITLES1" localSheetId="1">#REF!</definedName>
    <definedName name="BUDGETGRAPHINCTITLES1" localSheetId="2">#REF!</definedName>
    <definedName name="BUDGETGRAPHINCTITLES1" localSheetId="3">#REF!</definedName>
    <definedName name="BUDGETGRAPHINCTITLES1" localSheetId="4">#REF!</definedName>
    <definedName name="BUDGETGRAPHINCTITLES1" localSheetId="5">#REF!</definedName>
    <definedName name="BUDGETGRAPHINCTITLES1" localSheetId="6">#REF!</definedName>
    <definedName name="BUDGETGRAPHINCTITLES1" localSheetId="7">#REF!</definedName>
    <definedName name="BUDGETGRAPHINCTITLES1" localSheetId="8">#REF!</definedName>
    <definedName name="BUDGETGRAPHINCTITLES1">#REF!</definedName>
    <definedName name="BUDGETGRAPHINCVARIANCES1" localSheetId="1">#REF!</definedName>
    <definedName name="BUDGETGRAPHINCVARIANCES1" localSheetId="2">#REF!</definedName>
    <definedName name="BUDGETGRAPHINCVARIANCES1" localSheetId="3">#REF!</definedName>
    <definedName name="BUDGETGRAPHINCVARIANCES1" localSheetId="4">#REF!</definedName>
    <definedName name="BUDGETGRAPHINCVARIANCES1" localSheetId="5">#REF!</definedName>
    <definedName name="BUDGETGRAPHINCVARIANCES1" localSheetId="6">#REF!</definedName>
    <definedName name="BUDGETGRAPHINCVARIANCES1" localSheetId="7">#REF!</definedName>
    <definedName name="BUDGETGRAPHINCVARIANCES1" localSheetId="8">#REF!</definedName>
    <definedName name="BUDGETGRAPHINCVARIANCES1">#REF!</definedName>
    <definedName name="BUDGETGRAPHSTYLE1" localSheetId="1">#REF!</definedName>
    <definedName name="BUDGETGRAPHSTYLE1" localSheetId="2">#REF!</definedName>
    <definedName name="BUDGETGRAPHSTYLE1" localSheetId="3">#REF!</definedName>
    <definedName name="BUDGETGRAPHSTYLE1" localSheetId="4">#REF!</definedName>
    <definedName name="BUDGETGRAPHSTYLE1" localSheetId="5">#REF!</definedName>
    <definedName name="BUDGETGRAPHSTYLE1" localSheetId="6">#REF!</definedName>
    <definedName name="BUDGETGRAPHSTYLE1" localSheetId="7">#REF!</definedName>
    <definedName name="BUDGETGRAPHSTYLE1" localSheetId="8">#REF!</definedName>
    <definedName name="BUDGETGRAPHSTYLE1">#REF!</definedName>
    <definedName name="BUDGETHEADINGSBACKCOLOUR1" localSheetId="1">#REF!</definedName>
    <definedName name="BUDGETHEADINGSBACKCOLOUR1" localSheetId="2">#REF!</definedName>
    <definedName name="BUDGETHEADINGSBACKCOLOUR1" localSheetId="3">#REF!</definedName>
    <definedName name="BUDGETHEADINGSBACKCOLOUR1" localSheetId="4">#REF!</definedName>
    <definedName name="BUDGETHEADINGSBACKCOLOUR1" localSheetId="5">#REF!</definedName>
    <definedName name="BUDGETHEADINGSBACKCOLOUR1" localSheetId="6">#REF!</definedName>
    <definedName name="BUDGETHEADINGSBACKCOLOUR1" localSheetId="7">#REF!</definedName>
    <definedName name="BUDGETHEADINGSBACKCOLOUR1" localSheetId="8">#REF!</definedName>
    <definedName name="BUDGETHEADINGSBACKCOLOUR1">#REF!</definedName>
    <definedName name="BUDGETHEADINGSFORECOLOUR1" localSheetId="1">#REF!</definedName>
    <definedName name="BUDGETHEADINGSFORECOLOUR1" localSheetId="2">#REF!</definedName>
    <definedName name="BUDGETHEADINGSFORECOLOUR1" localSheetId="3">#REF!</definedName>
    <definedName name="BUDGETHEADINGSFORECOLOUR1" localSheetId="4">#REF!</definedName>
    <definedName name="BUDGETHEADINGSFORECOLOUR1" localSheetId="5">#REF!</definedName>
    <definedName name="BUDGETHEADINGSFORECOLOUR1" localSheetId="6">#REF!</definedName>
    <definedName name="BUDGETHEADINGSFORECOLOUR1" localSheetId="7">#REF!</definedName>
    <definedName name="BUDGETHEADINGSFORECOLOUR1" localSheetId="8">#REF!</definedName>
    <definedName name="BUDGETHEADINGSFORECOLOUR1">#REF!</definedName>
    <definedName name="BUDGETNAME1" localSheetId="1">#REF!</definedName>
    <definedName name="BUDGETNAME1" localSheetId="2">#REF!</definedName>
    <definedName name="BUDGETNAME1" localSheetId="3">#REF!</definedName>
    <definedName name="BUDGETNAME1" localSheetId="4">#REF!</definedName>
    <definedName name="BUDGETNAME1" localSheetId="5">#REF!</definedName>
    <definedName name="BUDGETNAME1" localSheetId="6">#REF!</definedName>
    <definedName name="BUDGETNAME1" localSheetId="7">#REF!</definedName>
    <definedName name="BUDGETNAME1" localSheetId="8">#REF!</definedName>
    <definedName name="BUDGETNAME1">#REF!</definedName>
    <definedName name="BUDGETORG1" localSheetId="1">#REF!</definedName>
    <definedName name="BUDGETORG1" localSheetId="2">#REF!</definedName>
    <definedName name="BUDGETORG1" localSheetId="3">#REF!</definedName>
    <definedName name="BUDGETORG1" localSheetId="4">#REF!</definedName>
    <definedName name="BUDGETORG1" localSheetId="5">#REF!</definedName>
    <definedName name="BUDGETORG1" localSheetId="6">#REF!</definedName>
    <definedName name="BUDGETORG1" localSheetId="7">#REF!</definedName>
    <definedName name="BUDGETORG1" localSheetId="8">#REF!</definedName>
    <definedName name="BUDGETORG1">#REF!</definedName>
    <definedName name="BUDGETORGFROZEN1" localSheetId="1">#REF!</definedName>
    <definedName name="BUDGETORGFROZEN1" localSheetId="2">#REF!</definedName>
    <definedName name="BUDGETORGFROZEN1" localSheetId="3">#REF!</definedName>
    <definedName name="BUDGETORGFROZEN1" localSheetId="4">#REF!</definedName>
    <definedName name="BUDGETORGFROZEN1" localSheetId="5">#REF!</definedName>
    <definedName name="BUDGETORGFROZEN1" localSheetId="6">#REF!</definedName>
    <definedName name="BUDGETORGFROZEN1" localSheetId="7">#REF!</definedName>
    <definedName name="BUDGETORGFROZEN1" localSheetId="8">#REF!</definedName>
    <definedName name="BUDGETORGFROZEN1">#REF!</definedName>
    <definedName name="BUDGETOUTPUTOPTION1" localSheetId="1">#REF!</definedName>
    <definedName name="BUDGETOUTPUTOPTION1" localSheetId="2">#REF!</definedName>
    <definedName name="BUDGETOUTPUTOPTION1" localSheetId="3">#REF!</definedName>
    <definedName name="BUDGETOUTPUTOPTION1" localSheetId="4">#REF!</definedName>
    <definedName name="BUDGETOUTPUTOPTION1" localSheetId="5">#REF!</definedName>
    <definedName name="BUDGETOUTPUTOPTION1" localSheetId="6">#REF!</definedName>
    <definedName name="BUDGETOUTPUTOPTION1" localSheetId="7">#REF!</definedName>
    <definedName name="BUDGETOUTPUTOPTION1" localSheetId="8">#REF!</definedName>
    <definedName name="BUDGETOUTPUTOPTION1">#REF!</definedName>
    <definedName name="BUDGETPASSWORDREQUIREDFLAG1" localSheetId="1">#REF!</definedName>
    <definedName name="BUDGETPASSWORDREQUIREDFLAG1" localSheetId="2">#REF!</definedName>
    <definedName name="BUDGETPASSWORDREQUIREDFLAG1" localSheetId="3">#REF!</definedName>
    <definedName name="BUDGETPASSWORDREQUIREDFLAG1" localSheetId="4">#REF!</definedName>
    <definedName name="BUDGETPASSWORDREQUIREDFLAG1" localSheetId="5">#REF!</definedName>
    <definedName name="BUDGETPASSWORDREQUIREDFLAG1" localSheetId="6">#REF!</definedName>
    <definedName name="BUDGETPASSWORDREQUIREDFLAG1" localSheetId="7">#REF!</definedName>
    <definedName name="BUDGETPASSWORDREQUIREDFLAG1" localSheetId="8">#REF!</definedName>
    <definedName name="BUDGETPASSWORDREQUIREDFLAG1">#REF!</definedName>
    <definedName name="BUDGETSHOWCRITERIASHEET1" localSheetId="1">#REF!</definedName>
    <definedName name="BUDGETSHOWCRITERIASHEET1" localSheetId="2">#REF!</definedName>
    <definedName name="BUDGETSHOWCRITERIASHEET1" localSheetId="3">#REF!</definedName>
    <definedName name="BUDGETSHOWCRITERIASHEET1" localSheetId="4">#REF!</definedName>
    <definedName name="BUDGETSHOWCRITERIASHEET1" localSheetId="5">#REF!</definedName>
    <definedName name="BUDGETSHOWCRITERIASHEET1" localSheetId="6">#REF!</definedName>
    <definedName name="BUDGETSHOWCRITERIASHEET1" localSheetId="7">#REF!</definedName>
    <definedName name="BUDGETSHOWCRITERIASHEET1" localSheetId="8">#REF!</definedName>
    <definedName name="BUDGETSHOWCRITERIASHEET1">#REF!</definedName>
    <definedName name="BUDGETSTATUS1" localSheetId="1">#REF!</definedName>
    <definedName name="BUDGETSTATUS1" localSheetId="2">#REF!</definedName>
    <definedName name="BUDGETSTATUS1" localSheetId="3">#REF!</definedName>
    <definedName name="BUDGETSTATUS1" localSheetId="4">#REF!</definedName>
    <definedName name="BUDGETSTATUS1" localSheetId="5">#REF!</definedName>
    <definedName name="BUDGETSTATUS1" localSheetId="6">#REF!</definedName>
    <definedName name="BUDGETSTATUS1" localSheetId="7">#REF!</definedName>
    <definedName name="BUDGETSTATUS1" localSheetId="8">#REF!</definedName>
    <definedName name="BUDGETSTATUS1">#REF!</definedName>
    <definedName name="BUDGETTITLEBACKCOLOUR1" localSheetId="1">#REF!</definedName>
    <definedName name="BUDGETTITLEBACKCOLOUR1" localSheetId="2">#REF!</definedName>
    <definedName name="BUDGETTITLEBACKCOLOUR1" localSheetId="3">#REF!</definedName>
    <definedName name="BUDGETTITLEBACKCOLOUR1" localSheetId="4">#REF!</definedName>
    <definedName name="BUDGETTITLEBACKCOLOUR1" localSheetId="5">#REF!</definedName>
    <definedName name="BUDGETTITLEBACKCOLOUR1" localSheetId="6">#REF!</definedName>
    <definedName name="BUDGETTITLEBACKCOLOUR1" localSheetId="7">#REF!</definedName>
    <definedName name="BUDGETTITLEBACKCOLOUR1" localSheetId="8">#REF!</definedName>
    <definedName name="BUDGETTITLEBACKCOLOUR1">#REF!</definedName>
    <definedName name="BUDGETTITLEBORDERCOLOUR1" localSheetId="1">#REF!</definedName>
    <definedName name="BUDGETTITLEBORDERCOLOUR1" localSheetId="2">#REF!</definedName>
    <definedName name="BUDGETTITLEBORDERCOLOUR1" localSheetId="3">#REF!</definedName>
    <definedName name="BUDGETTITLEBORDERCOLOUR1" localSheetId="4">#REF!</definedName>
    <definedName name="BUDGETTITLEBORDERCOLOUR1" localSheetId="5">#REF!</definedName>
    <definedName name="BUDGETTITLEBORDERCOLOUR1" localSheetId="6">#REF!</definedName>
    <definedName name="BUDGETTITLEBORDERCOLOUR1" localSheetId="7">#REF!</definedName>
    <definedName name="BUDGETTITLEBORDERCOLOUR1" localSheetId="8">#REF!</definedName>
    <definedName name="BUDGETTITLEBORDERCOLOUR1">#REF!</definedName>
    <definedName name="BUDGETTITLEFORECOLOUR1" localSheetId="1">#REF!</definedName>
    <definedName name="BUDGETTITLEFORECOLOUR1" localSheetId="2">#REF!</definedName>
    <definedName name="BUDGETTITLEFORECOLOUR1" localSheetId="3">#REF!</definedName>
    <definedName name="BUDGETTITLEFORECOLOUR1" localSheetId="4">#REF!</definedName>
    <definedName name="BUDGETTITLEFORECOLOUR1" localSheetId="5">#REF!</definedName>
    <definedName name="BUDGETTITLEFORECOLOUR1" localSheetId="6">#REF!</definedName>
    <definedName name="BUDGETTITLEFORECOLOUR1" localSheetId="7">#REF!</definedName>
    <definedName name="BUDGETTITLEFORECOLOUR1" localSheetId="8">#REF!</definedName>
    <definedName name="BUDGETTITLEFORECOLOUR1">#REF!</definedName>
    <definedName name="BUDGETVALUESWIDTH1" localSheetId="1">#REF!</definedName>
    <definedName name="BUDGETVALUESWIDTH1" localSheetId="2">#REF!</definedName>
    <definedName name="BUDGETVALUESWIDTH1" localSheetId="3">#REF!</definedName>
    <definedName name="BUDGETVALUESWIDTH1" localSheetId="4">#REF!</definedName>
    <definedName name="BUDGETVALUESWIDTH1" localSheetId="5">#REF!</definedName>
    <definedName name="BUDGETVALUESWIDTH1" localSheetId="6">#REF!</definedName>
    <definedName name="BUDGETVALUESWIDTH1" localSheetId="7">#REF!</definedName>
    <definedName name="BUDGETVALUESWIDTH1" localSheetId="8">#REF!</definedName>
    <definedName name="BUDGETVALUESWIDTH1">#REF!</definedName>
    <definedName name="BUDGETVERSIONID1" localSheetId="1">#REF!</definedName>
    <definedName name="BUDGETVERSIONID1" localSheetId="2">#REF!</definedName>
    <definedName name="BUDGETVERSIONID1" localSheetId="3">#REF!</definedName>
    <definedName name="BUDGETVERSIONID1" localSheetId="4">#REF!</definedName>
    <definedName name="BUDGETVERSIONID1" localSheetId="5">#REF!</definedName>
    <definedName name="BUDGETVERSIONID1" localSheetId="6">#REF!</definedName>
    <definedName name="BUDGETVERSIONID1" localSheetId="7">#REF!</definedName>
    <definedName name="BUDGETVERSIONID1" localSheetId="8">#REF!</definedName>
    <definedName name="BUDGETVERSIONID1">#REF!</definedName>
    <definedName name="Category" localSheetId="1">'[1]Source Data'!$B$520:$B$545</definedName>
    <definedName name="Category" localSheetId="2">'[1]Source Data'!$B$520:$B$545</definedName>
    <definedName name="Category" localSheetId="7">'[2]Source Data'!$B$520:$B$545</definedName>
    <definedName name="Category">'[3]Source Data'!$B$520:$B$545</definedName>
    <definedName name="CHARTOFACCOUNTSID1" localSheetId="1">#REF!</definedName>
    <definedName name="CHARTOFACCOUNTSID1" localSheetId="2">#REF!</definedName>
    <definedName name="CHARTOFACCOUNTSID1" localSheetId="3">#REF!</definedName>
    <definedName name="CHARTOFACCOUNTSID1" localSheetId="4">#REF!</definedName>
    <definedName name="CHARTOFACCOUNTSID1" localSheetId="5">#REF!</definedName>
    <definedName name="CHARTOFACCOUNTSID1" localSheetId="6">#REF!</definedName>
    <definedName name="CHARTOFACCOUNTSID1" localSheetId="7">#REF!</definedName>
    <definedName name="CHARTOFACCOUNTSID1" localSheetId="8">#REF!</definedName>
    <definedName name="CHARTOFACCOUNTSID1">#REF!</definedName>
    <definedName name="CHES_ANNUAL_BS" localSheetId="1">#REF!</definedName>
    <definedName name="CHES_ANNUAL_BS" localSheetId="2">#REF!</definedName>
    <definedName name="CHES_ANNUAL_BS" localSheetId="3">#REF!</definedName>
    <definedName name="CHES_ANNUAL_BS" localSheetId="4">#REF!</definedName>
    <definedName name="CHES_ANNUAL_BS" localSheetId="5">#REF!</definedName>
    <definedName name="CHES_ANNUAL_BS" localSheetId="6">#REF!</definedName>
    <definedName name="CHES_ANNUAL_BS" localSheetId="7">#REF!</definedName>
    <definedName name="CHES_ANNUAL_BS" localSheetId="8">#REF!</definedName>
    <definedName name="CHES_ANNUAL_BS">#REF!</definedName>
    <definedName name="CHES_ANNUAL_CF" localSheetId="1">#REF!</definedName>
    <definedName name="CHES_ANNUAL_CF" localSheetId="2">#REF!</definedName>
    <definedName name="CHES_ANNUAL_CF" localSheetId="3">#REF!</definedName>
    <definedName name="CHES_ANNUAL_CF" localSheetId="4">#REF!</definedName>
    <definedName name="CHES_ANNUAL_CF" localSheetId="5">#REF!</definedName>
    <definedName name="CHES_ANNUAL_CF" localSheetId="6">#REF!</definedName>
    <definedName name="CHES_ANNUAL_CF" localSheetId="7">#REF!</definedName>
    <definedName name="CHES_ANNUAL_CF" localSheetId="8">#REF!</definedName>
    <definedName name="CHES_ANNUAL_CF">#REF!</definedName>
    <definedName name="CHES_ANNUAL_IS" localSheetId="1">#REF!</definedName>
    <definedName name="CHES_ANNUAL_IS" localSheetId="2">#REF!</definedName>
    <definedName name="CHES_ANNUAL_IS" localSheetId="3">#REF!</definedName>
    <definedName name="CHES_ANNUAL_IS" localSheetId="4">#REF!</definedName>
    <definedName name="CHES_ANNUAL_IS" localSheetId="5">#REF!</definedName>
    <definedName name="CHES_ANNUAL_IS" localSheetId="6">#REF!</definedName>
    <definedName name="CHES_ANNUAL_IS" localSheetId="7">#REF!</definedName>
    <definedName name="CHES_ANNUAL_IS" localSheetId="8">#REF!</definedName>
    <definedName name="CHES_ANNUAL_IS">#REF!</definedName>
    <definedName name="Class_Location" localSheetId="1">'[1]Source Data'!$B$706:$B$712</definedName>
    <definedName name="Class_Location" localSheetId="2">'[1]Source Data'!$B$706:$B$712</definedName>
    <definedName name="Class_Location" localSheetId="7">'[2]Source Data'!$B$706:$B$712</definedName>
    <definedName name="Class_Location">'[3]Source Data'!$B$706:$B$712</definedName>
    <definedName name="Class_Location_Score" localSheetId="1">'[1]Source Data'!$B$706:$C$712</definedName>
    <definedName name="Class_Location_Score" localSheetId="2">'[1]Source Data'!$B$706:$C$712</definedName>
    <definedName name="Class_Location_Score" localSheetId="7">'[2]Source Data'!$B$706:$C$712</definedName>
    <definedName name="Class_Location_Score">'[3]Source Data'!$B$706:$C$712</definedName>
    <definedName name="Company" localSheetId="1">'[4]Source Data'!$B$47:$B$51</definedName>
    <definedName name="Company" localSheetId="2">'[4]Source Data'!$B$47:$B$51</definedName>
    <definedName name="Company">'[5]Source Data'!$B$47:$B$51</definedName>
    <definedName name="Compliance" localSheetId="1">'[1]Source Data'!$B$608:$B$609</definedName>
    <definedName name="Compliance" localSheetId="2">'[1]Source Data'!$B$608:$B$609</definedName>
    <definedName name="Compliance" localSheetId="7">'[2]Source Data'!$B$608:$B$609</definedName>
    <definedName name="Compliance">'[3]Source Data'!$B$608:$B$609</definedName>
    <definedName name="Compliance_Date" localSheetId="1">'[1]Source Data'!$B$715:$B$720</definedName>
    <definedName name="Compliance_Date" localSheetId="2">'[1]Source Data'!$B$715:$B$720</definedName>
    <definedName name="Compliance_Date" localSheetId="7">'[2]Source Data'!$B$715:$B$720</definedName>
    <definedName name="Compliance_Date">'[3]Source Data'!$B$715:$B$720</definedName>
    <definedName name="Compliance_Date_Score" localSheetId="1">'[1]Source Data'!$B$715:$C$720</definedName>
    <definedName name="Compliance_Date_Score" localSheetId="2">'[1]Source Data'!$B$715:$C$720</definedName>
    <definedName name="Compliance_Date_Score" localSheetId="7">'[2]Source Data'!$B$715:$C$720</definedName>
    <definedName name="Compliance_Date_Score">'[3]Source Data'!$B$715:$C$720</definedName>
    <definedName name="CONNECTSTRING1" localSheetId="1">#REF!</definedName>
    <definedName name="CONNECTSTRING1" localSheetId="2">#REF!</definedName>
    <definedName name="CONNECTSTRING1" localSheetId="3">#REF!</definedName>
    <definedName name="CONNECTSTRING1" localSheetId="4">#REF!</definedName>
    <definedName name="CONNECTSTRING1" localSheetId="5">#REF!</definedName>
    <definedName name="CONNECTSTRING1" localSheetId="6">#REF!</definedName>
    <definedName name="CONNECTSTRING1" localSheetId="7">#REF!</definedName>
    <definedName name="CONNECTSTRING1" localSheetId="8">#REF!</definedName>
    <definedName name="CONNECTSTRING1">#REF!</definedName>
    <definedName name="CREATEGRAPH1" localSheetId="1">#REF!</definedName>
    <definedName name="CREATEGRAPH1" localSheetId="2">#REF!</definedName>
    <definedName name="CREATEGRAPH1" localSheetId="3">#REF!</definedName>
    <definedName name="CREATEGRAPH1" localSheetId="4">#REF!</definedName>
    <definedName name="CREATEGRAPH1" localSheetId="5">#REF!</definedName>
    <definedName name="CREATEGRAPH1" localSheetId="6">#REF!</definedName>
    <definedName name="CREATEGRAPH1" localSheetId="7">#REF!</definedName>
    <definedName name="CREATEGRAPH1" localSheetId="8">#REF!</definedName>
    <definedName name="CREATEGRAPH1">#REF!</definedName>
    <definedName name="d" localSheetId="1">'[6]Source Data'!$B$552:$B$556</definedName>
    <definedName name="d" localSheetId="2">'[6]Source Data'!$B$552:$B$556</definedName>
    <definedName name="d">'[7]Source Data'!$B$552:$B$556</definedName>
    <definedName name="DBNAME1" localSheetId="1">#REF!</definedName>
    <definedName name="DBNAME1" localSheetId="2">#REF!</definedName>
    <definedName name="DBNAME1" localSheetId="3">#REF!</definedName>
    <definedName name="DBNAME1" localSheetId="4">#REF!</definedName>
    <definedName name="DBNAME1" localSheetId="5">#REF!</definedName>
    <definedName name="DBNAME1" localSheetId="6">#REF!</definedName>
    <definedName name="DBNAME1" localSheetId="7">#REF!</definedName>
    <definedName name="DBNAME1" localSheetId="8">#REF!</definedName>
    <definedName name="DBNAME1">#REF!</definedName>
    <definedName name="DBUSERNAME1" localSheetId="1">#REF!</definedName>
    <definedName name="DBUSERNAME1" localSheetId="2">#REF!</definedName>
    <definedName name="DBUSERNAME1" localSheetId="3">#REF!</definedName>
    <definedName name="DBUSERNAME1" localSheetId="4">#REF!</definedName>
    <definedName name="DBUSERNAME1" localSheetId="5">#REF!</definedName>
    <definedName name="DBUSERNAME1" localSheetId="6">#REF!</definedName>
    <definedName name="DBUSERNAME1" localSheetId="7">#REF!</definedName>
    <definedName name="DBUSERNAME1" localSheetId="8">#REF!</definedName>
    <definedName name="DBUSERNAME1">#REF!</definedName>
    <definedName name="de" localSheetId="1">'[6]Source Data'!$B$548:$B$549</definedName>
    <definedName name="de" localSheetId="2">'[6]Source Data'!$B$548:$B$549</definedName>
    <definedName name="de">'[7]Source Data'!$B$548:$B$549</definedName>
    <definedName name="decgas" localSheetId="1">#REF!</definedName>
    <definedName name="decgas" localSheetId="2">#REF!</definedName>
    <definedName name="decgas" localSheetId="3">#REF!</definedName>
    <definedName name="decgas" localSheetId="4">#REF!</definedName>
    <definedName name="decgas" localSheetId="5">#REF!</definedName>
    <definedName name="decgas" localSheetId="6">#REF!</definedName>
    <definedName name="decgas" localSheetId="7">#REF!</definedName>
    <definedName name="decgas" localSheetId="8">#REF!</definedName>
    <definedName name="decgas">#REF!</definedName>
    <definedName name="DELETELOGICTYPE1" localSheetId="1">#REF!</definedName>
    <definedName name="DELETELOGICTYPE1" localSheetId="2">#REF!</definedName>
    <definedName name="DELETELOGICTYPE1" localSheetId="3">#REF!</definedName>
    <definedName name="DELETELOGICTYPE1" localSheetId="4">#REF!</definedName>
    <definedName name="DELETELOGICTYPE1" localSheetId="5">#REF!</definedName>
    <definedName name="DELETELOGICTYPE1" localSheetId="6">#REF!</definedName>
    <definedName name="DELETELOGICTYPE1" localSheetId="7">#REF!</definedName>
    <definedName name="DELETELOGICTYPE1" localSheetId="8">#REF!</definedName>
    <definedName name="DELETELOGICTYPE1">#REF!</definedName>
    <definedName name="Designation" localSheetId="1">'[1]Source Data'!$B$548:$B$549</definedName>
    <definedName name="Designation" localSheetId="2">'[1]Source Data'!$B$548:$B$549</definedName>
    <definedName name="Designation" localSheetId="7">'[2]Source Data'!$B$548:$B$549</definedName>
    <definedName name="Designation">'[3]Source Data'!$B$548:$B$549</definedName>
    <definedName name="Detectability" localSheetId="1">'[1]Source Data'!$B$731:$B$739</definedName>
    <definedName name="Detectability" localSheetId="2">'[1]Source Data'!$B$731:$B$739</definedName>
    <definedName name="Detectability" localSheetId="7">'[2]Source Data'!$B$731:$B$739</definedName>
    <definedName name="Detectability">'[3]Source Data'!$B$731:$B$739</definedName>
    <definedName name="Detectability_Score" localSheetId="1">'[1]Source Data'!$B$731:$C$739</definedName>
    <definedName name="Detectability_Score" localSheetId="2">'[1]Source Data'!$B$731:$C$739</definedName>
    <definedName name="Detectability_Score" localSheetId="7">'[2]Source Data'!$B$731:$C$739</definedName>
    <definedName name="Detectability_Score">'[3]Source Data'!$B$731:$C$739</definedName>
    <definedName name="dfs" localSheetId="1">#REF!</definedName>
    <definedName name="dfs" localSheetId="2">#REF!</definedName>
    <definedName name="dfs" localSheetId="3">#REF!</definedName>
    <definedName name="dfs" localSheetId="4">#REF!</definedName>
    <definedName name="dfs" localSheetId="5">#REF!</definedName>
    <definedName name="dfs" localSheetId="6">#REF!</definedName>
    <definedName name="dfs" localSheetId="7">#REF!</definedName>
    <definedName name="dfs" localSheetId="8">#REF!</definedName>
    <definedName name="dfs">#REF!</definedName>
    <definedName name="Division" localSheetId="1">'[1]Source Data'!$B$552:$B$556</definedName>
    <definedName name="Division" localSheetId="2">'[1]Source Data'!$B$552:$B$556</definedName>
    <definedName name="Division" localSheetId="7">'[2]Source Data'!$B$552:$B$556</definedName>
    <definedName name="Division">'[3]Source Data'!$B$552:$B$556</definedName>
    <definedName name="Division_Operating_Center" localSheetId="1">'[1]Source Data'!$B$559:$B$594</definedName>
    <definedName name="Division_Operating_Center" localSheetId="2">'[1]Source Data'!$B$559:$B$594</definedName>
    <definedName name="Division_Operating_Center" localSheetId="7">'[2]Source Data'!$B$559:$B$594</definedName>
    <definedName name="Division_Operating_Center">'[3]Source Data'!$B$559:$B$594</definedName>
    <definedName name="EA_value" localSheetId="1">#REF!</definedName>
    <definedName name="EA_value" localSheetId="2">#REF!</definedName>
    <definedName name="EA_value" localSheetId="3">#REF!</definedName>
    <definedName name="EA_value" localSheetId="4">#REF!</definedName>
    <definedName name="EA_value" localSheetId="5">#REF!</definedName>
    <definedName name="EA_value" localSheetId="6">#REF!</definedName>
    <definedName name="EA_value" localSheetId="7">#REF!</definedName>
    <definedName name="EA_value" localSheetId="8">#REF!</definedName>
    <definedName name="EA_value">#REF!</definedName>
    <definedName name="ENDPERIODNAME1" localSheetId="1">#REF!</definedName>
    <definedName name="ENDPERIODNAME1" localSheetId="2">#REF!</definedName>
    <definedName name="ENDPERIODNAME1" localSheetId="3">#REF!</definedName>
    <definedName name="ENDPERIODNAME1" localSheetId="4">#REF!</definedName>
    <definedName name="ENDPERIODNAME1" localSheetId="5">#REF!</definedName>
    <definedName name="ENDPERIODNAME1" localSheetId="6">#REF!</definedName>
    <definedName name="ENDPERIODNAME1" localSheetId="7">#REF!</definedName>
    <definedName name="ENDPERIODNAME1" localSheetId="8">#REF!</definedName>
    <definedName name="ENDPERIODNAME1">#REF!</definedName>
    <definedName name="ENDPERIODNUM1" localSheetId="1">#REF!</definedName>
    <definedName name="ENDPERIODNUM1" localSheetId="2">#REF!</definedName>
    <definedName name="ENDPERIODNUM1" localSheetId="3">#REF!</definedName>
    <definedName name="ENDPERIODNUM1" localSheetId="4">#REF!</definedName>
    <definedName name="ENDPERIODNUM1" localSheetId="5">#REF!</definedName>
    <definedName name="ENDPERIODNUM1" localSheetId="6">#REF!</definedName>
    <definedName name="ENDPERIODNUM1" localSheetId="7">#REF!</definedName>
    <definedName name="ENDPERIODNUM1" localSheetId="8">#REF!</definedName>
    <definedName name="ENDPERIODNUM1">#REF!</definedName>
    <definedName name="ENDPERIODYEAR1" localSheetId="1">#REF!</definedName>
    <definedName name="ENDPERIODYEAR1" localSheetId="2">#REF!</definedName>
    <definedName name="ENDPERIODYEAR1" localSheetId="3">#REF!</definedName>
    <definedName name="ENDPERIODYEAR1" localSheetId="4">#REF!</definedName>
    <definedName name="ENDPERIODYEAR1" localSheetId="5">#REF!</definedName>
    <definedName name="ENDPERIODYEAR1" localSheetId="6">#REF!</definedName>
    <definedName name="ENDPERIODYEAR1" localSheetId="7">#REF!</definedName>
    <definedName name="ENDPERIODYEAR1" localSheetId="8">#REF!</definedName>
    <definedName name="ENDPERIODYEAR1">#REF!</definedName>
    <definedName name="FBC_erate" localSheetId="1">#REF!</definedName>
    <definedName name="FBC_erate" localSheetId="2">#REF!</definedName>
    <definedName name="FBC_erate" localSheetId="3">#REF!</definedName>
    <definedName name="FBC_erate" localSheetId="4">#REF!</definedName>
    <definedName name="FBC_erate" localSheetId="5">#REF!</definedName>
    <definedName name="FBC_erate" localSheetId="6">#REF!</definedName>
    <definedName name="FBC_erate" localSheetId="7">#REF!</definedName>
    <definedName name="FBC_erate" localSheetId="8">#REF!</definedName>
    <definedName name="FBC_erate">#REF!</definedName>
    <definedName name="FBC_gyp_price" localSheetId="1">#REF!</definedName>
    <definedName name="FBC_gyp_price" localSheetId="2">#REF!</definedName>
    <definedName name="FBC_gyp_price" localSheetId="3">#REF!</definedName>
    <definedName name="FBC_gyp_price" localSheetId="4">#REF!</definedName>
    <definedName name="FBC_gyp_price" localSheetId="5">#REF!</definedName>
    <definedName name="FBC_gyp_price" localSheetId="6">#REF!</definedName>
    <definedName name="FBC_gyp_price" localSheetId="7">#REF!</definedName>
    <definedName name="FBC_gyp_price" localSheetId="8">#REF!</definedName>
    <definedName name="FBC_gyp_price">#REF!</definedName>
    <definedName name="FBC_gyp_rate" localSheetId="1">#REF!</definedName>
    <definedName name="FBC_gyp_rate" localSheetId="2">#REF!</definedName>
    <definedName name="FBC_gyp_rate" localSheetId="3">#REF!</definedName>
    <definedName name="FBC_gyp_rate" localSheetId="4">#REF!</definedName>
    <definedName name="FBC_gyp_rate" localSheetId="5">#REF!</definedName>
    <definedName name="FBC_gyp_rate" localSheetId="6">#REF!</definedName>
    <definedName name="FBC_gyp_rate" localSheetId="7">#REF!</definedName>
    <definedName name="FBC_gyp_rate" localSheetId="8">#REF!</definedName>
    <definedName name="FBC_gyp_rate">#REF!</definedName>
    <definedName name="FBC_HS_HV" localSheetId="1">#REF!</definedName>
    <definedName name="FBC_HS_HV" localSheetId="2">#REF!</definedName>
    <definedName name="FBC_HS_HV" localSheetId="3">#REF!</definedName>
    <definedName name="FBC_HS_HV" localSheetId="4">#REF!</definedName>
    <definedName name="FBC_HS_HV" localSheetId="5">#REF!</definedName>
    <definedName name="FBC_HS_HV" localSheetId="6">#REF!</definedName>
    <definedName name="FBC_HS_HV" localSheetId="7">#REF!</definedName>
    <definedName name="FBC_HS_HV" localSheetId="8">#REF!</definedName>
    <definedName name="FBC_HS_HV">#REF!</definedName>
    <definedName name="FBC_HS_price" localSheetId="1">#REF!</definedName>
    <definedName name="FBC_HS_price" localSheetId="2">#REF!</definedName>
    <definedName name="FBC_HS_price" localSheetId="3">#REF!</definedName>
    <definedName name="FBC_HS_price" localSheetId="4">#REF!</definedName>
    <definedName name="FBC_HS_price" localSheetId="5">#REF!</definedName>
    <definedName name="FBC_HS_price" localSheetId="6">#REF!</definedName>
    <definedName name="FBC_HS_price" localSheetId="7">#REF!</definedName>
    <definedName name="FBC_HS_price" localSheetId="8">#REF!</definedName>
    <definedName name="FBC_HS_price">#REF!</definedName>
    <definedName name="FBC_HS_S" localSheetId="1">#REF!</definedName>
    <definedName name="FBC_HS_S" localSheetId="2">#REF!</definedName>
    <definedName name="FBC_HS_S" localSheetId="3">#REF!</definedName>
    <definedName name="FBC_HS_S" localSheetId="4">#REF!</definedName>
    <definedName name="FBC_HS_S" localSheetId="5">#REF!</definedName>
    <definedName name="FBC_HS_S" localSheetId="6">#REF!</definedName>
    <definedName name="FBC_HS_S" localSheetId="7">#REF!</definedName>
    <definedName name="FBC_HS_S" localSheetId="8">#REF!</definedName>
    <definedName name="FBC_HS_S">#REF!</definedName>
    <definedName name="FBC_LS_HV" localSheetId="1">#REF!</definedName>
    <definedName name="FBC_LS_HV" localSheetId="2">#REF!</definedName>
    <definedName name="FBC_LS_HV" localSheetId="3">#REF!</definedName>
    <definedName name="FBC_LS_HV" localSheetId="4">#REF!</definedName>
    <definedName name="FBC_LS_HV" localSheetId="5">#REF!</definedName>
    <definedName name="FBC_LS_HV" localSheetId="6">#REF!</definedName>
    <definedName name="FBC_LS_HV" localSheetId="7">#REF!</definedName>
    <definedName name="FBC_LS_HV" localSheetId="8">#REF!</definedName>
    <definedName name="FBC_LS_HV">#REF!</definedName>
    <definedName name="FBC_LS_price" localSheetId="1">#REF!</definedName>
    <definedName name="FBC_LS_price" localSheetId="2">#REF!</definedName>
    <definedName name="FBC_LS_price" localSheetId="3">#REF!</definedName>
    <definedName name="FBC_LS_price" localSheetId="4">#REF!</definedName>
    <definedName name="FBC_LS_price" localSheetId="5">#REF!</definedName>
    <definedName name="FBC_LS_price" localSheetId="6">#REF!</definedName>
    <definedName name="FBC_LS_price" localSheetId="7">#REF!</definedName>
    <definedName name="FBC_LS_price" localSheetId="8">#REF!</definedName>
    <definedName name="FBC_LS_price">#REF!</definedName>
    <definedName name="FBC_ls_rate" localSheetId="1">#REF!</definedName>
    <definedName name="FBC_ls_rate" localSheetId="2">#REF!</definedName>
    <definedName name="FBC_ls_rate" localSheetId="3">#REF!</definedName>
    <definedName name="FBC_ls_rate" localSheetId="4">#REF!</definedName>
    <definedName name="FBC_ls_rate" localSheetId="5">#REF!</definedName>
    <definedName name="FBC_ls_rate" localSheetId="6">#REF!</definedName>
    <definedName name="FBC_ls_rate" localSheetId="7">#REF!</definedName>
    <definedName name="FBC_ls_rate" localSheetId="8">#REF!</definedName>
    <definedName name="FBC_ls_rate">#REF!</definedName>
    <definedName name="FBC_LS_S" localSheetId="1">#REF!</definedName>
    <definedName name="FBC_LS_S" localSheetId="2">#REF!</definedName>
    <definedName name="FBC_LS_S" localSheetId="3">#REF!</definedName>
    <definedName name="FBC_LS_S" localSheetId="4">#REF!</definedName>
    <definedName name="FBC_LS_S" localSheetId="5">#REF!</definedName>
    <definedName name="FBC_LS_S" localSheetId="6">#REF!</definedName>
    <definedName name="FBC_LS_S" localSheetId="7">#REF!</definedName>
    <definedName name="FBC_LS_S" localSheetId="8">#REF!</definedName>
    <definedName name="FBC_LS_S">#REF!</definedName>
    <definedName name="febgas" localSheetId="1">#REF!</definedName>
    <definedName name="febgas" localSheetId="2">#REF!</definedName>
    <definedName name="febgas" localSheetId="3">#REF!</definedName>
    <definedName name="febgas" localSheetId="4">#REF!</definedName>
    <definedName name="febgas" localSheetId="5">#REF!</definedName>
    <definedName name="febgas" localSheetId="6">#REF!</definedName>
    <definedName name="febgas" localSheetId="7">#REF!</definedName>
    <definedName name="febgas" localSheetId="8">#REF!</definedName>
    <definedName name="febgas">#REF!</definedName>
    <definedName name="FFAPPCOLNAME1_1" localSheetId="1">#REF!</definedName>
    <definedName name="FFAPPCOLNAME1_1" localSheetId="2">#REF!</definedName>
    <definedName name="FFAPPCOLNAME1_1" localSheetId="3">#REF!</definedName>
    <definedName name="FFAPPCOLNAME1_1" localSheetId="4">#REF!</definedName>
    <definedName name="FFAPPCOLNAME1_1" localSheetId="5">#REF!</definedName>
    <definedName name="FFAPPCOLNAME1_1" localSheetId="6">#REF!</definedName>
    <definedName name="FFAPPCOLNAME1_1" localSheetId="7">#REF!</definedName>
    <definedName name="FFAPPCOLNAME1_1" localSheetId="8">#REF!</definedName>
    <definedName name="FFAPPCOLNAME1_1">#REF!</definedName>
    <definedName name="FFAPPCOLNAME2_1" localSheetId="1">#REF!</definedName>
    <definedName name="FFAPPCOLNAME2_1" localSheetId="2">#REF!</definedName>
    <definedName name="FFAPPCOLNAME2_1" localSheetId="3">#REF!</definedName>
    <definedName name="FFAPPCOLNAME2_1" localSheetId="4">#REF!</definedName>
    <definedName name="FFAPPCOLNAME2_1" localSheetId="5">#REF!</definedName>
    <definedName name="FFAPPCOLNAME2_1" localSheetId="6">#REF!</definedName>
    <definedName name="FFAPPCOLNAME2_1" localSheetId="7">#REF!</definedName>
    <definedName name="FFAPPCOLNAME2_1" localSheetId="8">#REF!</definedName>
    <definedName name="FFAPPCOLNAME2_1">#REF!</definedName>
    <definedName name="FFAPPCOLNAME3_1" localSheetId="1">#REF!</definedName>
    <definedName name="FFAPPCOLNAME3_1" localSheetId="2">#REF!</definedName>
    <definedName name="FFAPPCOLNAME3_1" localSheetId="3">#REF!</definedName>
    <definedName name="FFAPPCOLNAME3_1" localSheetId="4">#REF!</definedName>
    <definedName name="FFAPPCOLNAME3_1" localSheetId="5">#REF!</definedName>
    <definedName name="FFAPPCOLNAME3_1" localSheetId="6">#REF!</definedName>
    <definedName name="FFAPPCOLNAME3_1" localSheetId="7">#REF!</definedName>
    <definedName name="FFAPPCOLNAME3_1" localSheetId="8">#REF!</definedName>
    <definedName name="FFAPPCOLNAME3_1">#REF!</definedName>
    <definedName name="FFAPPCOLNAME4_1" localSheetId="1">#REF!</definedName>
    <definedName name="FFAPPCOLNAME4_1" localSheetId="2">#REF!</definedName>
    <definedName name="FFAPPCOLNAME4_1" localSheetId="3">#REF!</definedName>
    <definedName name="FFAPPCOLNAME4_1" localSheetId="4">#REF!</definedName>
    <definedName name="FFAPPCOLNAME4_1" localSheetId="5">#REF!</definedName>
    <definedName name="FFAPPCOLNAME4_1" localSheetId="6">#REF!</definedName>
    <definedName name="FFAPPCOLNAME4_1" localSheetId="7">#REF!</definedName>
    <definedName name="FFAPPCOLNAME4_1" localSheetId="8">#REF!</definedName>
    <definedName name="FFAPPCOLNAME4_1">#REF!</definedName>
    <definedName name="FFAPPCOLNAME5_1" localSheetId="1">#REF!</definedName>
    <definedName name="FFAPPCOLNAME5_1" localSheetId="2">#REF!</definedName>
    <definedName name="FFAPPCOLNAME5_1" localSheetId="3">#REF!</definedName>
    <definedName name="FFAPPCOLNAME5_1" localSheetId="4">#REF!</definedName>
    <definedName name="FFAPPCOLNAME5_1" localSheetId="5">#REF!</definedName>
    <definedName name="FFAPPCOLNAME5_1" localSheetId="6">#REF!</definedName>
    <definedName name="FFAPPCOLNAME5_1" localSheetId="7">#REF!</definedName>
    <definedName name="FFAPPCOLNAME5_1" localSheetId="8">#REF!</definedName>
    <definedName name="FFAPPCOLNAME5_1">#REF!</definedName>
    <definedName name="FFSEGDESC1_1" localSheetId="1">#REF!</definedName>
    <definedName name="FFSEGDESC1_1" localSheetId="2">#REF!</definedName>
    <definedName name="FFSEGDESC1_1" localSheetId="3">#REF!</definedName>
    <definedName name="FFSEGDESC1_1" localSheetId="4">#REF!</definedName>
    <definedName name="FFSEGDESC1_1" localSheetId="5">#REF!</definedName>
    <definedName name="FFSEGDESC1_1" localSheetId="6">#REF!</definedName>
    <definedName name="FFSEGDESC1_1" localSheetId="7">#REF!</definedName>
    <definedName name="FFSEGDESC1_1" localSheetId="8">#REF!</definedName>
    <definedName name="FFSEGDESC1_1">#REF!</definedName>
    <definedName name="FFSEGDESC2_1" localSheetId="1">#REF!</definedName>
    <definedName name="FFSEGDESC2_1" localSheetId="2">#REF!</definedName>
    <definedName name="FFSEGDESC2_1" localSheetId="3">#REF!</definedName>
    <definedName name="FFSEGDESC2_1" localSheetId="4">#REF!</definedName>
    <definedName name="FFSEGDESC2_1" localSheetId="5">#REF!</definedName>
    <definedName name="FFSEGDESC2_1" localSheetId="6">#REF!</definedName>
    <definedName name="FFSEGDESC2_1" localSheetId="7">#REF!</definedName>
    <definedName name="FFSEGDESC2_1" localSheetId="8">#REF!</definedName>
    <definedName name="FFSEGDESC2_1">#REF!</definedName>
    <definedName name="FFSEGDESC3_1" localSheetId="1">#REF!</definedName>
    <definedName name="FFSEGDESC3_1" localSheetId="2">#REF!</definedName>
    <definedName name="FFSEGDESC3_1" localSheetId="3">#REF!</definedName>
    <definedName name="FFSEGDESC3_1" localSheetId="4">#REF!</definedName>
    <definedName name="FFSEGDESC3_1" localSheetId="5">#REF!</definedName>
    <definedName name="FFSEGDESC3_1" localSheetId="6">#REF!</definedName>
    <definedName name="FFSEGDESC3_1" localSheetId="7">#REF!</definedName>
    <definedName name="FFSEGDESC3_1" localSheetId="8">#REF!</definedName>
    <definedName name="FFSEGDESC3_1">#REF!</definedName>
    <definedName name="FFSEGDESC4_1" localSheetId="1">#REF!</definedName>
    <definedName name="FFSEGDESC4_1" localSheetId="2">#REF!</definedName>
    <definedName name="FFSEGDESC4_1" localSheetId="3">#REF!</definedName>
    <definedName name="FFSEGDESC4_1" localSheetId="4">#REF!</definedName>
    <definedName name="FFSEGDESC4_1" localSheetId="5">#REF!</definedName>
    <definedName name="FFSEGDESC4_1" localSheetId="6">#REF!</definedName>
    <definedName name="FFSEGDESC4_1" localSheetId="7">#REF!</definedName>
    <definedName name="FFSEGDESC4_1" localSheetId="8">#REF!</definedName>
    <definedName name="FFSEGDESC4_1">#REF!</definedName>
    <definedName name="FFSEGDESC5_1" localSheetId="1">#REF!</definedName>
    <definedName name="FFSEGDESC5_1" localSheetId="2">#REF!</definedName>
    <definedName name="FFSEGDESC5_1" localSheetId="3">#REF!</definedName>
    <definedName name="FFSEGDESC5_1" localSheetId="4">#REF!</definedName>
    <definedName name="FFSEGDESC5_1" localSheetId="5">#REF!</definedName>
    <definedName name="FFSEGDESC5_1" localSheetId="6">#REF!</definedName>
    <definedName name="FFSEGDESC5_1" localSheetId="7">#REF!</definedName>
    <definedName name="FFSEGDESC5_1" localSheetId="8">#REF!</definedName>
    <definedName name="FFSEGDESC5_1">#REF!</definedName>
    <definedName name="FFSEGMENT1_1" localSheetId="1">#REF!</definedName>
    <definedName name="FFSEGMENT1_1" localSheetId="2">#REF!</definedName>
    <definedName name="FFSEGMENT1_1" localSheetId="3">#REF!</definedName>
    <definedName name="FFSEGMENT1_1" localSheetId="4">#REF!</definedName>
    <definedName name="FFSEGMENT1_1" localSheetId="5">#REF!</definedName>
    <definedName name="FFSEGMENT1_1" localSheetId="6">#REF!</definedName>
    <definedName name="FFSEGMENT1_1" localSheetId="7">#REF!</definedName>
    <definedName name="FFSEGMENT1_1" localSheetId="8">#REF!</definedName>
    <definedName name="FFSEGMENT1_1">#REF!</definedName>
    <definedName name="FFSEGMENT2_1" localSheetId="1">#REF!</definedName>
    <definedName name="FFSEGMENT2_1" localSheetId="2">#REF!</definedName>
    <definedName name="FFSEGMENT2_1" localSheetId="3">#REF!</definedName>
    <definedName name="FFSEGMENT2_1" localSheetId="4">#REF!</definedName>
    <definedName name="FFSEGMENT2_1" localSheetId="5">#REF!</definedName>
    <definedName name="FFSEGMENT2_1" localSheetId="6">#REF!</definedName>
    <definedName name="FFSEGMENT2_1" localSheetId="7">#REF!</definedName>
    <definedName name="FFSEGMENT2_1" localSheetId="8">#REF!</definedName>
    <definedName name="FFSEGMENT2_1">#REF!</definedName>
    <definedName name="FFSEGMENT3_1" localSheetId="1">#REF!</definedName>
    <definedName name="FFSEGMENT3_1" localSheetId="2">#REF!</definedName>
    <definedName name="FFSEGMENT3_1" localSheetId="3">#REF!</definedName>
    <definedName name="FFSEGMENT3_1" localSheetId="4">#REF!</definedName>
    <definedName name="FFSEGMENT3_1" localSheetId="5">#REF!</definedName>
    <definedName name="FFSEGMENT3_1" localSheetId="6">#REF!</definedName>
    <definedName name="FFSEGMENT3_1" localSheetId="7">#REF!</definedName>
    <definedName name="FFSEGMENT3_1" localSheetId="8">#REF!</definedName>
    <definedName name="FFSEGMENT3_1">#REF!</definedName>
    <definedName name="FFSEGMENT4_1" localSheetId="1">#REF!</definedName>
    <definedName name="FFSEGMENT4_1" localSheetId="2">#REF!</definedName>
    <definedName name="FFSEGMENT4_1" localSheetId="3">#REF!</definedName>
    <definedName name="FFSEGMENT4_1" localSheetId="4">#REF!</definedName>
    <definedName name="FFSEGMENT4_1" localSheetId="5">#REF!</definedName>
    <definedName name="FFSEGMENT4_1" localSheetId="6">#REF!</definedName>
    <definedName name="FFSEGMENT4_1" localSheetId="7">#REF!</definedName>
    <definedName name="FFSEGMENT4_1" localSheetId="8">#REF!</definedName>
    <definedName name="FFSEGMENT4_1">#REF!</definedName>
    <definedName name="FFSEGMENT5_1" localSheetId="1">#REF!</definedName>
    <definedName name="FFSEGMENT5_1" localSheetId="2">#REF!</definedName>
    <definedName name="FFSEGMENT5_1" localSheetId="3">#REF!</definedName>
    <definedName name="FFSEGMENT5_1" localSheetId="4">#REF!</definedName>
    <definedName name="FFSEGMENT5_1" localSheetId="5">#REF!</definedName>
    <definedName name="FFSEGMENT5_1" localSheetId="6">#REF!</definedName>
    <definedName name="FFSEGMENT5_1" localSheetId="7">#REF!</definedName>
    <definedName name="FFSEGMENT5_1" localSheetId="8">#REF!</definedName>
    <definedName name="FFSEGMENT5_1">#REF!</definedName>
    <definedName name="FFSEGSEPARATOR1" localSheetId="1">#REF!</definedName>
    <definedName name="FFSEGSEPARATOR1" localSheetId="2">#REF!</definedName>
    <definedName name="FFSEGSEPARATOR1" localSheetId="3">#REF!</definedName>
    <definedName name="FFSEGSEPARATOR1" localSheetId="4">#REF!</definedName>
    <definedName name="FFSEGSEPARATOR1" localSheetId="5">#REF!</definedName>
    <definedName name="FFSEGSEPARATOR1" localSheetId="6">#REF!</definedName>
    <definedName name="FFSEGSEPARATOR1" localSheetId="7">#REF!</definedName>
    <definedName name="FFSEGSEPARATOR1" localSheetId="8">#REF!</definedName>
    <definedName name="FFSEGSEPARATOR1">#REF!</definedName>
    <definedName name="FNDNAM1" localSheetId="1">#REF!</definedName>
    <definedName name="FNDNAM1" localSheetId="2">#REF!</definedName>
    <definedName name="FNDNAM1" localSheetId="3">#REF!</definedName>
    <definedName name="FNDNAM1" localSheetId="4">#REF!</definedName>
    <definedName name="FNDNAM1" localSheetId="5">#REF!</definedName>
    <definedName name="FNDNAM1" localSheetId="6">#REF!</definedName>
    <definedName name="FNDNAM1" localSheetId="7">#REF!</definedName>
    <definedName name="FNDNAM1" localSheetId="8">#REF!</definedName>
    <definedName name="FNDNAM1">#REF!</definedName>
    <definedName name="FNDUSERID1" localSheetId="1">#REF!</definedName>
    <definedName name="FNDUSERID1" localSheetId="2">#REF!</definedName>
    <definedName name="FNDUSERID1" localSheetId="3">#REF!</definedName>
    <definedName name="FNDUSERID1" localSheetId="4">#REF!</definedName>
    <definedName name="FNDUSERID1" localSheetId="5">#REF!</definedName>
    <definedName name="FNDUSERID1" localSheetId="6">#REF!</definedName>
    <definedName name="FNDUSERID1" localSheetId="7">#REF!</definedName>
    <definedName name="FNDUSERID1" localSheetId="8">#REF!</definedName>
    <definedName name="FNDUSERID1">#REF!</definedName>
    <definedName name="Funding" localSheetId="1">'[1]Source Data'!$B$597:$B$605</definedName>
    <definedName name="Funding" localSheetId="2">'[1]Source Data'!$B$597:$B$605</definedName>
    <definedName name="Funding" localSheetId="7">'[2]Source Data'!$B$597:$B$605</definedName>
    <definedName name="Funding">'[3]Source Data'!$B$597:$B$605</definedName>
    <definedName name="Gas_hv" localSheetId="1">#REF!</definedName>
    <definedName name="Gas_hv" localSheetId="2">#REF!</definedName>
    <definedName name="Gas_hv" localSheetId="3">#REF!</definedName>
    <definedName name="Gas_hv" localSheetId="4">#REF!</definedName>
    <definedName name="Gas_hv" localSheetId="5">#REF!</definedName>
    <definedName name="Gas_hv" localSheetId="6">#REF!</definedName>
    <definedName name="Gas_hv" localSheetId="7">#REF!</definedName>
    <definedName name="Gas_hv" localSheetId="8">#REF!</definedName>
    <definedName name="Gas_hv">#REF!</definedName>
    <definedName name="Gas_lhv" localSheetId="1">#REF!</definedName>
    <definedName name="Gas_lhv" localSheetId="2">#REF!</definedName>
    <definedName name="Gas_lhv" localSheetId="3">#REF!</definedName>
    <definedName name="Gas_lhv" localSheetId="4">#REF!</definedName>
    <definedName name="Gas_lhv" localSheetId="5">#REF!</definedName>
    <definedName name="Gas_lhv" localSheetId="6">#REF!</definedName>
    <definedName name="Gas_lhv" localSheetId="7">#REF!</definedName>
    <definedName name="Gas_lhv" localSheetId="8">#REF!</definedName>
    <definedName name="Gas_lhv">#REF!</definedName>
    <definedName name="Gas_price" localSheetId="1">#REF!</definedName>
    <definedName name="Gas_price" localSheetId="2">#REF!</definedName>
    <definedName name="Gas_price" localSheetId="3">#REF!</definedName>
    <definedName name="Gas_price" localSheetId="4">#REF!</definedName>
    <definedName name="Gas_price" localSheetId="5">#REF!</definedName>
    <definedName name="Gas_price" localSheetId="6">#REF!</definedName>
    <definedName name="Gas_price" localSheetId="7">#REF!</definedName>
    <definedName name="Gas_price" localSheetId="8">#REF!</definedName>
    <definedName name="Gas_price">#REF!</definedName>
    <definedName name="GWYUID1" localSheetId="1">#REF!</definedName>
    <definedName name="GWYUID1" localSheetId="2">#REF!</definedName>
    <definedName name="GWYUID1" localSheetId="3">#REF!</definedName>
    <definedName name="GWYUID1" localSheetId="4">#REF!</definedName>
    <definedName name="GWYUID1" localSheetId="5">#REF!</definedName>
    <definedName name="GWYUID1" localSheetId="6">#REF!</definedName>
    <definedName name="GWYUID1" localSheetId="7">#REF!</definedName>
    <definedName name="GWYUID1" localSheetId="8">#REF!</definedName>
    <definedName name="GWYUID1">#REF!</definedName>
    <definedName name="HCA" localSheetId="1">'[1]Source Data'!$B$701:$B$703</definedName>
    <definedName name="HCA" localSheetId="2">'[1]Source Data'!$B$701:$B$703</definedName>
    <definedName name="HCA" localSheetId="7">'[2]Source Data'!$B$701:$B$703</definedName>
    <definedName name="HCA">'[3]Source Data'!$B$701:$B$703</definedName>
    <definedName name="HCA_Score" localSheetId="1">'[1]Source Data'!$B$701:$C$703</definedName>
    <definedName name="HCA_Score" localSheetId="2">'[1]Source Data'!$B$701:$C$703</definedName>
    <definedName name="HCA_Score" localSheetId="7">'[2]Source Data'!$B$701:$C$703</definedName>
    <definedName name="HCA_Score">'[3]Source Data'!$B$701:$C$703</definedName>
    <definedName name="IGCAFUDCRATES" localSheetId="1">'[8]AFUDC Rates'!$A$1:$IV$65536</definedName>
    <definedName name="IGCAFUDCRATES" localSheetId="2">'[8]AFUDC Rates'!$A$1:$IV$65536</definedName>
    <definedName name="IGCAFUDCRATES">'[9]AFUDC Rates'!$A$1:$IV$65536</definedName>
    <definedName name="IGCCHARGEPIVOT" localSheetId="1">'[8]CHARGE PIVOT'!$G$4:$IV$65536</definedName>
    <definedName name="IGCCHARGEPIVOT" localSheetId="2">'[8]CHARGE PIVOT'!$G$4:$IV$65536</definedName>
    <definedName name="IGCCHARGEPIVOT">'[9]CHARGE PIVOT'!$G$4:$IV$65536</definedName>
    <definedName name="IGCCHARGES" localSheetId="1">#REF!</definedName>
    <definedName name="IGCCHARGES" localSheetId="2">#REF!</definedName>
    <definedName name="IGCCHARGES" localSheetId="3">#REF!</definedName>
    <definedName name="IGCCHARGES" localSheetId="4">#REF!</definedName>
    <definedName name="IGCCHARGES" localSheetId="5">#REF!</definedName>
    <definedName name="IGCCHARGES" localSheetId="6">#REF!</definedName>
    <definedName name="IGCCHARGES" localSheetId="7">#REF!</definedName>
    <definedName name="IGCCHARGES" localSheetId="8">#REF!</definedName>
    <definedName name="IGCCHARGES">#REF!</definedName>
    <definedName name="IGCCHARGETABLE" localSheetId="1">'[10]CHARGE PIVOT'!$B$5:$D$65536</definedName>
    <definedName name="IGCCHARGETABLE" localSheetId="2">'[10]CHARGE PIVOT'!$B$5:$D$65536</definedName>
    <definedName name="IGCCHARGETABLE" localSheetId="7">'[11]CHARGE PIVOT'!$B$5:$D$65536</definedName>
    <definedName name="IGCCHARGETABLE">'[12]CHARGE PIVOT'!$B$5:$D$65536</definedName>
    <definedName name="IGCINSERVICE" localSheetId="1">#REF!</definedName>
    <definedName name="IGCINSERVICE" localSheetId="2">#REF!</definedName>
    <definedName name="IGCINSERVICE" localSheetId="3">#REF!</definedName>
    <definedName name="IGCINSERVICE" localSheetId="4">#REF!</definedName>
    <definedName name="IGCINSERVICE" localSheetId="5">#REF!</definedName>
    <definedName name="IGCINSERVICE" localSheetId="6">#REF!</definedName>
    <definedName name="IGCINSERVICE" localSheetId="7">#REF!</definedName>
    <definedName name="IGCINSERVICE" localSheetId="8">#REF!</definedName>
    <definedName name="IGCINSERVICE">#REF!</definedName>
    <definedName name="IGCPISAFUDCPIVOT" localSheetId="1">'[8]PIS AFUDC PIVOT'!$B$5:$C$65536</definedName>
    <definedName name="IGCPISAFUDCPIVOT" localSheetId="2">'[8]PIS AFUDC PIVOT'!$B$5:$C$65536</definedName>
    <definedName name="IGCPISAFUDCPIVOT">'[9]PIS AFUDC PIVOT'!$B$5:$C$65536</definedName>
    <definedName name="ILI" localSheetId="1">'[1]Source Data'!$B$723:$B$728</definedName>
    <definedName name="ILI" localSheetId="2">'[1]Source Data'!$B$723:$B$728</definedName>
    <definedName name="ILI" localSheetId="7">'[2]Source Data'!$B$723:$B$728</definedName>
    <definedName name="ILI">'[3]Source Data'!$B$723:$B$728</definedName>
    <definedName name="ILI_Score" localSheetId="1">'[1]Source Data'!$B$723:$C$728</definedName>
    <definedName name="ILI_Score" localSheetId="2">'[1]Source Data'!$B$723:$C$728</definedName>
    <definedName name="ILI_Score" localSheetId="7">'[2]Source Data'!$B$723:$C$728</definedName>
    <definedName name="ILI_Score">'[3]Source Data'!$B$723:$C$728</definedName>
    <definedName name="IM_System_Name" localSheetId="1">'[4]Source Data'!$B$54:$B$517</definedName>
    <definedName name="IM_System_Name" localSheetId="2">'[4]Source Data'!$B$54:$B$517</definedName>
    <definedName name="IM_System_Name">'[5]Source Data'!$B$54:$B$517</definedName>
    <definedName name="Integrity" localSheetId="1">'[1]Source Data'!$B$639:$B$666</definedName>
    <definedName name="Integrity" localSheetId="2">'[1]Source Data'!$B$639:$B$666</definedName>
    <definedName name="Integrity" localSheetId="7">'[2]Source Data'!$B$639:$B$666</definedName>
    <definedName name="Integrity">'[3]Source Data'!$B$639:$B$666</definedName>
    <definedName name="Integrity_Score" localSheetId="1">'[1]Source Data'!$B$639:$C$666</definedName>
    <definedName name="Integrity_Score" localSheetId="2">'[1]Source Data'!$B$639:$C$666</definedName>
    <definedName name="Integrity_Score" localSheetId="7">'[2]Source Data'!$B$639:$C$666</definedName>
    <definedName name="Integrity_Score">'[3]Source Data'!$B$639:$C$666</definedName>
    <definedName name="jangas" localSheetId="1">#REF!</definedName>
    <definedName name="jangas" localSheetId="2">#REF!</definedName>
    <definedName name="jangas" localSheetId="3">#REF!</definedName>
    <definedName name="jangas" localSheetId="4">#REF!</definedName>
    <definedName name="jangas" localSheetId="5">#REF!</definedName>
    <definedName name="jangas" localSheetId="6">#REF!</definedName>
    <definedName name="jangas" localSheetId="7">#REF!</definedName>
    <definedName name="jangas" localSheetId="8">#REF!</definedName>
    <definedName name="jangas">#REF!</definedName>
    <definedName name="julgas" localSheetId="1">#REF!</definedName>
    <definedName name="julgas" localSheetId="2">#REF!</definedName>
    <definedName name="julgas" localSheetId="3">#REF!</definedName>
    <definedName name="julgas" localSheetId="4">#REF!</definedName>
    <definedName name="julgas" localSheetId="5">#REF!</definedName>
    <definedName name="julgas" localSheetId="6">#REF!</definedName>
    <definedName name="julgas" localSheetId="7">#REF!</definedName>
    <definedName name="julgas" localSheetId="8">#REF!</definedName>
    <definedName name="julgas">#REF!</definedName>
    <definedName name="jungas" localSheetId="1">#REF!</definedName>
    <definedName name="jungas" localSheetId="2">#REF!</definedName>
    <definedName name="jungas" localSheetId="3">#REF!</definedName>
    <definedName name="jungas" localSheetId="4">#REF!</definedName>
    <definedName name="jungas" localSheetId="5">#REF!</definedName>
    <definedName name="jungas" localSheetId="6">#REF!</definedName>
    <definedName name="jungas" localSheetId="7">#REF!</definedName>
    <definedName name="jungas" localSheetId="8">#REF!</definedName>
    <definedName name="jungas">#REF!</definedName>
    <definedName name="lime_price" localSheetId="1">#REF!</definedName>
    <definedName name="lime_price" localSheetId="2">#REF!</definedName>
    <definedName name="lime_price" localSheetId="3">#REF!</definedName>
    <definedName name="lime_price" localSheetId="4">#REF!</definedName>
    <definedName name="lime_price" localSheetId="5">#REF!</definedName>
    <definedName name="lime_price" localSheetId="6">#REF!</definedName>
    <definedName name="lime_price" localSheetId="7">#REF!</definedName>
    <definedName name="lime_price" localSheetId="8">#REF!</definedName>
    <definedName name="lime_price">#REF!</definedName>
    <definedName name="Long_Lead_Permits" localSheetId="1">'[1]Source Data'!$B$749:$B$753</definedName>
    <definedName name="Long_Lead_Permits" localSheetId="2">'[1]Source Data'!$B$749:$B$753</definedName>
    <definedName name="Long_Lead_Permits" localSheetId="7">'[2]Source Data'!$B$749:$B$753</definedName>
    <definedName name="Long_Lead_Permits">'[3]Source Data'!$B$749:$B$753</definedName>
    <definedName name="Long_Lead_Permits_Score" localSheetId="1">'[1]Source Data'!$B$749:$C$753</definedName>
    <definedName name="Long_Lead_Permits_Score" localSheetId="2">'[1]Source Data'!$B$749:$C$753</definedName>
    <definedName name="Long_Lead_Permits_Score" localSheetId="7">'[2]Source Data'!$B$749:$C$753</definedName>
    <definedName name="Long_Lead_Permits_Score">'[3]Source Data'!$B$749:$C$753</definedName>
    <definedName name="ls_price" localSheetId="1">#REF!</definedName>
    <definedName name="ls_price" localSheetId="2">#REF!</definedName>
    <definedName name="ls_price" localSheetId="3">#REF!</definedName>
    <definedName name="ls_price" localSheetId="4">#REF!</definedName>
    <definedName name="ls_price" localSheetId="5">#REF!</definedName>
    <definedName name="ls_price" localSheetId="6">#REF!</definedName>
    <definedName name="ls_price" localSheetId="7">#REF!</definedName>
    <definedName name="ls_price" localSheetId="8">#REF!</definedName>
    <definedName name="ls_price">#REF!</definedName>
    <definedName name="margas" localSheetId="1">#REF!</definedName>
    <definedName name="margas" localSheetId="2">#REF!</definedName>
    <definedName name="margas" localSheetId="3">#REF!</definedName>
    <definedName name="margas" localSheetId="4">#REF!</definedName>
    <definedName name="margas" localSheetId="5">#REF!</definedName>
    <definedName name="margas" localSheetId="6">#REF!</definedName>
    <definedName name="margas" localSheetId="7">#REF!</definedName>
    <definedName name="margas" localSheetId="8">#REF!</definedName>
    <definedName name="margas">#REF!</definedName>
    <definedName name="Material_Availability" localSheetId="1">'[1]Source Data'!$B$762:$B$764</definedName>
    <definedName name="Material_Availability" localSheetId="2">'[1]Source Data'!$B$762:$B$764</definedName>
    <definedName name="Material_Availability" localSheetId="7">'[2]Source Data'!$B$762:$B$764</definedName>
    <definedName name="Material_Availability">'[3]Source Data'!$B$762:$B$764</definedName>
    <definedName name="Material_Availability_Score" localSheetId="1">'[1]Source Data'!$B$762:$C$764</definedName>
    <definedName name="Material_Availability_Score" localSheetId="2">'[1]Source Data'!$B$762:$C$764</definedName>
    <definedName name="Material_Availability_Score" localSheetId="7">'[2]Source Data'!$B$762:$C$764</definedName>
    <definedName name="Material_Availability_Score">'[3]Source Data'!$B$762:$C$764</definedName>
    <definedName name="maygas" localSheetId="1">#REF!</definedName>
    <definedName name="maygas" localSheetId="2">#REF!</definedName>
    <definedName name="maygas" localSheetId="3">#REF!</definedName>
    <definedName name="maygas" localSheetId="4">#REF!</definedName>
    <definedName name="maygas" localSheetId="5">#REF!</definedName>
    <definedName name="maygas" localSheetId="6">#REF!</definedName>
    <definedName name="maygas" localSheetId="7">#REF!</definedName>
    <definedName name="maygas" localSheetId="8">#REF!</definedName>
    <definedName name="maygas">#REF!</definedName>
    <definedName name="NO" localSheetId="1">#REF!</definedName>
    <definedName name="NO" localSheetId="2">#REF!</definedName>
    <definedName name="NO" localSheetId="3">#REF!</definedName>
    <definedName name="NO" localSheetId="4">#REF!</definedName>
    <definedName name="NO" localSheetId="5">#REF!</definedName>
    <definedName name="NO" localSheetId="6">#REF!</definedName>
    <definedName name="NO" localSheetId="7">#REF!</definedName>
    <definedName name="NO" localSheetId="8">#REF!</definedName>
    <definedName name="NO">#REF!</definedName>
    <definedName name="NOOFFFSEGMENTS1" localSheetId="1">#REF!</definedName>
    <definedName name="NOOFFFSEGMENTS1" localSheetId="2">#REF!</definedName>
    <definedName name="NOOFFFSEGMENTS1" localSheetId="3">#REF!</definedName>
    <definedName name="NOOFFFSEGMENTS1" localSheetId="4">#REF!</definedName>
    <definedName name="NOOFFFSEGMENTS1" localSheetId="5">#REF!</definedName>
    <definedName name="NOOFFFSEGMENTS1" localSheetId="6">#REF!</definedName>
    <definedName name="NOOFFFSEGMENTS1" localSheetId="7">#REF!</definedName>
    <definedName name="NOOFFFSEGMENTS1" localSheetId="8">#REF!</definedName>
    <definedName name="NOOFFFSEGMENTS1">#REF!</definedName>
    <definedName name="NOOFPERIODS1" localSheetId="1">#REF!</definedName>
    <definedName name="NOOFPERIODS1" localSheetId="2">#REF!</definedName>
    <definedName name="NOOFPERIODS1" localSheetId="3">#REF!</definedName>
    <definedName name="NOOFPERIODS1" localSheetId="4">#REF!</definedName>
    <definedName name="NOOFPERIODS1" localSheetId="5">#REF!</definedName>
    <definedName name="NOOFPERIODS1" localSheetId="6">#REF!</definedName>
    <definedName name="NOOFPERIODS1" localSheetId="7">#REF!</definedName>
    <definedName name="NOOFPERIODS1" localSheetId="8">#REF!</definedName>
    <definedName name="NOOFPERIODS1">#REF!</definedName>
    <definedName name="novgas" localSheetId="1">#REF!</definedName>
    <definedName name="novgas" localSheetId="2">#REF!</definedName>
    <definedName name="novgas" localSheetId="3">#REF!</definedName>
    <definedName name="novgas" localSheetId="4">#REF!</definedName>
    <definedName name="novgas" localSheetId="5">#REF!</definedName>
    <definedName name="novgas" localSheetId="6">#REF!</definedName>
    <definedName name="novgas" localSheetId="7">#REF!</definedName>
    <definedName name="novgas" localSheetId="8">#REF!</definedName>
    <definedName name="novgas">#REF!</definedName>
    <definedName name="octgas" localSheetId="1">#REF!</definedName>
    <definedName name="octgas" localSheetId="2">#REF!</definedName>
    <definedName name="octgas" localSheetId="3">#REF!</definedName>
    <definedName name="octgas" localSheetId="4">#REF!</definedName>
    <definedName name="octgas" localSheetId="5">#REF!</definedName>
    <definedName name="octgas" localSheetId="6">#REF!</definedName>
    <definedName name="octgas" localSheetId="7">#REF!</definedName>
    <definedName name="octgas" localSheetId="8">#REF!</definedName>
    <definedName name="octgas">#REF!</definedName>
    <definedName name="PERIODSETNAME1" localSheetId="1">#REF!</definedName>
    <definedName name="PERIODSETNAME1" localSheetId="2">#REF!</definedName>
    <definedName name="PERIODSETNAME1" localSheetId="3">#REF!</definedName>
    <definedName name="PERIODSETNAME1" localSheetId="4">#REF!</definedName>
    <definedName name="PERIODSETNAME1" localSheetId="5">#REF!</definedName>
    <definedName name="PERIODSETNAME1" localSheetId="6">#REF!</definedName>
    <definedName name="PERIODSETNAME1" localSheetId="7">#REF!</definedName>
    <definedName name="PERIODSETNAME1" localSheetId="8">#REF!</definedName>
    <definedName name="PERIODSETNAME1">#REF!</definedName>
    <definedName name="PERIODYEAR1" localSheetId="1">#REF!</definedName>
    <definedName name="PERIODYEAR1" localSheetId="2">#REF!</definedName>
    <definedName name="PERIODYEAR1" localSheetId="3">#REF!</definedName>
    <definedName name="PERIODYEAR1" localSheetId="4">#REF!</definedName>
    <definedName name="PERIODYEAR1" localSheetId="5">#REF!</definedName>
    <definedName name="PERIODYEAR1" localSheetId="6">#REF!</definedName>
    <definedName name="PERIODYEAR1" localSheetId="7">#REF!</definedName>
    <definedName name="PERIODYEAR1" localSheetId="8">#REF!</definedName>
    <definedName name="PERIODYEAR1">#REF!</definedName>
    <definedName name="Pressure_Class" localSheetId="1">'[1]Source Data'!$B$693:$B$698</definedName>
    <definedName name="Pressure_Class" localSheetId="2">'[1]Source Data'!$B$693:$B$698</definedName>
    <definedName name="Pressure_Class" localSheetId="7">'[2]Source Data'!$B$693:$B$698</definedName>
    <definedName name="Pressure_Class">'[3]Source Data'!$B$693:$B$698</definedName>
    <definedName name="Pressure_Class_Score" localSheetId="1">'[1]Source Data'!$B$693:$C$698</definedName>
    <definedName name="Pressure_Class_Score" localSheetId="2">'[1]Source Data'!$B$693:$C$698</definedName>
    <definedName name="Pressure_Class_Score" localSheetId="7">'[2]Source Data'!$B$693:$C$698</definedName>
    <definedName name="Pressure_Class_Score">'[3]Source Data'!$B$693:$C$698</definedName>
    <definedName name="_xlnm.Print_Area" localSheetId="1">'SAH-2'!$A$1:$G$11</definedName>
    <definedName name="_xlnm.Print_Area" localSheetId="2">'SAH-3'!$A$1:$G$10</definedName>
    <definedName name="_xlnm.Print_Area" localSheetId="3">'SAH-4 (Public)'!$A$1:$J$38</definedName>
    <definedName name="_xlnm.Print_Area" localSheetId="4">'SAH-5 (Public)'!$A$1:$J$154</definedName>
    <definedName name="_xlnm.Print_Area" localSheetId="5">'SAH-6 (Public)'!$A$1:$J$70</definedName>
    <definedName name="_xlnm.Print_Area" localSheetId="6">'SAH-7 (Public)'!$A$1:$J$117</definedName>
    <definedName name="_xlnm.Print_Area" localSheetId="7">'SAH-8 (Public)'!$A$1:$AG$256</definedName>
    <definedName name="_xlnm.Print_Area" localSheetId="8">'SAH-9 (Public)'!$A$1:$J$56</definedName>
    <definedName name="_xlnm.Print_Titles" localSheetId="3">'SAH-4 (Public)'!$1:$6</definedName>
    <definedName name="_xlnm.Print_Titles" localSheetId="4">'SAH-5 (Public)'!$1:$6</definedName>
    <definedName name="_xlnm.Print_Titles" localSheetId="5">'SAH-6 (Public)'!$1:$6</definedName>
    <definedName name="_xlnm.Print_Titles" localSheetId="6">'SAH-7 (Public)'!$1:$6</definedName>
    <definedName name="_xlnm.Print_Titles" localSheetId="7">'SAH-8 (Public)'!$1:$6</definedName>
    <definedName name="_xlnm.Print_Titles" localSheetId="8">'SAH-9 (Public)'!$1:$6</definedName>
    <definedName name="READONLYBACKCOLOUR1" localSheetId="1">#REF!</definedName>
    <definedName name="READONLYBACKCOLOUR1" localSheetId="2">#REF!</definedName>
    <definedName name="READONLYBACKCOLOUR1" localSheetId="3">#REF!</definedName>
    <definedName name="READONLYBACKCOLOUR1" localSheetId="4">#REF!</definedName>
    <definedName name="READONLYBACKCOLOUR1" localSheetId="5">#REF!</definedName>
    <definedName name="READONLYBACKCOLOUR1" localSheetId="6">#REF!</definedName>
    <definedName name="READONLYBACKCOLOUR1" localSheetId="7">#REF!</definedName>
    <definedName name="READONLYBACKCOLOUR1" localSheetId="8">#REF!</definedName>
    <definedName name="READONLYBACKCOLOUR1">#REF!</definedName>
    <definedName name="READWRITEBACKCOLOUR1" localSheetId="1">#REF!</definedName>
    <definedName name="READWRITEBACKCOLOUR1" localSheetId="2">#REF!</definedName>
    <definedName name="READWRITEBACKCOLOUR1" localSheetId="3">#REF!</definedName>
    <definedName name="READWRITEBACKCOLOUR1" localSheetId="4">#REF!</definedName>
    <definedName name="READWRITEBACKCOLOUR1" localSheetId="5">#REF!</definedName>
    <definedName name="READWRITEBACKCOLOUR1" localSheetId="6">#REF!</definedName>
    <definedName name="READWRITEBACKCOLOUR1" localSheetId="7">#REF!</definedName>
    <definedName name="READWRITEBACKCOLOUR1" localSheetId="8">#REF!</definedName>
    <definedName name="READWRITEBACKCOLOUR1">#REF!</definedName>
    <definedName name="REQUIREBUDGETJOURNALSFLAG1" localSheetId="1">#REF!</definedName>
    <definedName name="REQUIREBUDGETJOURNALSFLAG1" localSheetId="2">#REF!</definedName>
    <definedName name="REQUIREBUDGETJOURNALSFLAG1" localSheetId="3">#REF!</definedName>
    <definedName name="REQUIREBUDGETJOURNALSFLAG1" localSheetId="4">#REF!</definedName>
    <definedName name="REQUIREBUDGETJOURNALSFLAG1" localSheetId="5">#REF!</definedName>
    <definedName name="REQUIREBUDGETJOURNALSFLAG1" localSheetId="6">#REF!</definedName>
    <definedName name="REQUIREBUDGETJOURNALSFLAG1" localSheetId="7">#REF!</definedName>
    <definedName name="REQUIREBUDGETJOURNALSFLAG1" localSheetId="8">#REF!</definedName>
    <definedName name="REQUIREBUDGETJOURNALSFLAG1">#REF!</definedName>
    <definedName name="RESPONSIBILITYAPPLICATIONID1" localSheetId="1">#REF!</definedName>
    <definedName name="RESPONSIBILITYAPPLICATIONID1" localSheetId="2">#REF!</definedName>
    <definedName name="RESPONSIBILITYAPPLICATIONID1" localSheetId="3">#REF!</definedName>
    <definedName name="RESPONSIBILITYAPPLICATIONID1" localSheetId="4">#REF!</definedName>
    <definedName name="RESPONSIBILITYAPPLICATIONID1" localSheetId="5">#REF!</definedName>
    <definedName name="RESPONSIBILITYAPPLICATIONID1" localSheetId="6">#REF!</definedName>
    <definedName name="RESPONSIBILITYAPPLICATIONID1" localSheetId="7">#REF!</definedName>
    <definedName name="RESPONSIBILITYAPPLICATIONID1" localSheetId="8">#REF!</definedName>
    <definedName name="RESPONSIBILITYAPPLICATIONID1">#REF!</definedName>
    <definedName name="RESPONSIBILITYID1" localSheetId="1">#REF!</definedName>
    <definedName name="RESPONSIBILITYID1" localSheetId="2">#REF!</definedName>
    <definedName name="RESPONSIBILITYID1" localSheetId="3">#REF!</definedName>
    <definedName name="RESPONSIBILITYID1" localSheetId="4">#REF!</definedName>
    <definedName name="RESPONSIBILITYID1" localSheetId="5">#REF!</definedName>
    <definedName name="RESPONSIBILITYID1" localSheetId="6">#REF!</definedName>
    <definedName name="RESPONSIBILITYID1" localSheetId="7">#REF!</definedName>
    <definedName name="RESPONSIBILITYID1" localSheetId="8">#REF!</definedName>
    <definedName name="RESPONSIBILITYID1">#REF!</definedName>
    <definedName name="RESPONSIBILITYNAME1" localSheetId="1">#REF!</definedName>
    <definedName name="RESPONSIBILITYNAME1" localSheetId="2">#REF!</definedName>
    <definedName name="RESPONSIBILITYNAME1" localSheetId="3">#REF!</definedName>
    <definedName name="RESPONSIBILITYNAME1" localSheetId="4">#REF!</definedName>
    <definedName name="RESPONSIBILITYNAME1" localSheetId="5">#REF!</definedName>
    <definedName name="RESPONSIBILITYNAME1" localSheetId="6">#REF!</definedName>
    <definedName name="RESPONSIBILITYNAME1" localSheetId="7">#REF!</definedName>
    <definedName name="RESPONSIBILITYNAME1" localSheetId="8">#REF!</definedName>
    <definedName name="RESPONSIBILITYNAME1">#REF!</definedName>
    <definedName name="Risk_Per_IM_Sys_Named_Pipeline" localSheetId="1">'[1]IM Risk Score Per Pipeline'!$A$2:$B$467</definedName>
    <definedName name="Risk_Per_IM_Sys_Named_Pipeline" localSheetId="2">'[1]IM Risk Score Per Pipeline'!$A$2:$B$467</definedName>
    <definedName name="Risk_Per_IM_Sys_Named_Pipeline" localSheetId="7">'[2]IM Risk Score Per Pipeline'!$A$2:$B$467</definedName>
    <definedName name="Risk_Per_IM_Sys_Named_Pipeline">'[3]IM Risk Score Per Pipeline'!$A$2:$B$467</definedName>
    <definedName name="rngProjectDetailHeader" localSheetId="1">[13]DB!#REF!</definedName>
    <definedName name="rngProjectDetailHeader" localSheetId="2">[13]DB!#REF!</definedName>
    <definedName name="rngProjectDetailHeader" localSheetId="3">[14]DB!#REF!</definedName>
    <definedName name="rngProjectDetailHeader" localSheetId="4">[14]DB!#REF!</definedName>
    <definedName name="rngProjectDetailHeader" localSheetId="5">[14]DB!#REF!</definedName>
    <definedName name="rngProjectDetailHeader" localSheetId="6">[14]DB!#REF!</definedName>
    <definedName name="rngProjectDetailHeader" localSheetId="8">[14]DB!#REF!</definedName>
    <definedName name="rngProjectDetailHeader">[14]DB!#REF!</definedName>
    <definedName name="ROWSTOUPLOAD1" localSheetId="1">#REF!</definedName>
    <definedName name="ROWSTOUPLOAD1" localSheetId="2">#REF!</definedName>
    <definedName name="ROWSTOUPLOAD1" localSheetId="3">#REF!</definedName>
    <definedName name="ROWSTOUPLOAD1" localSheetId="4">#REF!</definedName>
    <definedName name="ROWSTOUPLOAD1" localSheetId="5">#REF!</definedName>
    <definedName name="ROWSTOUPLOAD1" localSheetId="6">#REF!</definedName>
    <definedName name="ROWSTOUPLOAD1" localSheetId="7">#REF!</definedName>
    <definedName name="ROWSTOUPLOAD1" localSheetId="8">#REF!</definedName>
    <definedName name="ROWSTOUPLOAD1">#REF!</definedName>
    <definedName name="S" localSheetId="1">#REF!</definedName>
    <definedName name="S" localSheetId="2">#REF!</definedName>
    <definedName name="S" localSheetId="3">#REF!</definedName>
    <definedName name="S" localSheetId="4">#REF!</definedName>
    <definedName name="S" localSheetId="5">#REF!</definedName>
    <definedName name="S" localSheetId="6">#REF!</definedName>
    <definedName name="S" localSheetId="7">#REF!</definedName>
    <definedName name="S" localSheetId="8">#REF!</definedName>
    <definedName name="S">#REF!</definedName>
    <definedName name="sdfs" localSheetId="1">#REF!</definedName>
    <definedName name="sdfs" localSheetId="2">#REF!</definedName>
    <definedName name="sdfs" localSheetId="3">#REF!</definedName>
    <definedName name="sdfs" localSheetId="4">#REF!</definedName>
    <definedName name="sdfs" localSheetId="5">#REF!</definedName>
    <definedName name="sdfs" localSheetId="6">#REF!</definedName>
    <definedName name="sdfs" localSheetId="7">#REF!</definedName>
    <definedName name="sdfs" localSheetId="8">#REF!</definedName>
    <definedName name="sdfs">#REF!</definedName>
    <definedName name="SEG1_DIRECTION1" localSheetId="1">#REF!</definedName>
    <definedName name="SEG1_DIRECTION1" localSheetId="2">#REF!</definedName>
    <definedName name="SEG1_DIRECTION1" localSheetId="3">#REF!</definedName>
    <definedName name="SEG1_DIRECTION1" localSheetId="4">#REF!</definedName>
    <definedName name="SEG1_DIRECTION1" localSheetId="5">#REF!</definedName>
    <definedName name="SEG1_DIRECTION1" localSheetId="6">#REF!</definedName>
    <definedName name="SEG1_DIRECTION1" localSheetId="7">#REF!</definedName>
    <definedName name="SEG1_DIRECTION1" localSheetId="8">#REF!</definedName>
    <definedName name="SEG1_DIRECTION1">#REF!</definedName>
    <definedName name="SEG1_FROM1" localSheetId="1">#REF!</definedName>
    <definedName name="SEG1_FROM1" localSheetId="2">#REF!</definedName>
    <definedName name="SEG1_FROM1" localSheetId="3">#REF!</definedName>
    <definedName name="SEG1_FROM1" localSheetId="4">#REF!</definedName>
    <definedName name="SEG1_FROM1" localSheetId="5">#REF!</definedName>
    <definedName name="SEG1_FROM1" localSheetId="6">#REF!</definedName>
    <definedName name="SEG1_FROM1" localSheetId="7">#REF!</definedName>
    <definedName name="SEG1_FROM1" localSheetId="8">#REF!</definedName>
    <definedName name="SEG1_FROM1">#REF!</definedName>
    <definedName name="SEG1_SORT1" localSheetId="1">#REF!</definedName>
    <definedName name="SEG1_SORT1" localSheetId="2">#REF!</definedName>
    <definedName name="SEG1_SORT1" localSheetId="3">#REF!</definedName>
    <definedName name="SEG1_SORT1" localSheetId="4">#REF!</definedName>
    <definedName name="SEG1_SORT1" localSheetId="5">#REF!</definedName>
    <definedName name="SEG1_SORT1" localSheetId="6">#REF!</definedName>
    <definedName name="SEG1_SORT1" localSheetId="7">#REF!</definedName>
    <definedName name="SEG1_SORT1" localSheetId="8">#REF!</definedName>
    <definedName name="SEG1_SORT1">#REF!</definedName>
    <definedName name="SEG1_TO1" localSheetId="1">#REF!</definedName>
    <definedName name="SEG1_TO1" localSheetId="2">#REF!</definedName>
    <definedName name="SEG1_TO1" localSheetId="3">#REF!</definedName>
    <definedName name="SEG1_TO1" localSheetId="4">#REF!</definedName>
    <definedName name="SEG1_TO1" localSheetId="5">#REF!</definedName>
    <definedName name="SEG1_TO1" localSheetId="6">#REF!</definedName>
    <definedName name="SEG1_TO1" localSheetId="7">#REF!</definedName>
    <definedName name="SEG1_TO1" localSheetId="8">#REF!</definedName>
    <definedName name="SEG1_TO1">#REF!</definedName>
    <definedName name="SEG2_DIRECTION1" localSheetId="1">#REF!</definedName>
    <definedName name="SEG2_DIRECTION1" localSheetId="2">#REF!</definedName>
    <definedName name="SEG2_DIRECTION1" localSheetId="3">#REF!</definedName>
    <definedName name="SEG2_DIRECTION1" localSheetId="4">#REF!</definedName>
    <definedName name="SEG2_DIRECTION1" localSheetId="5">#REF!</definedName>
    <definedName name="SEG2_DIRECTION1" localSheetId="6">#REF!</definedName>
    <definedName name="SEG2_DIRECTION1" localSheetId="7">#REF!</definedName>
    <definedName name="SEG2_DIRECTION1" localSheetId="8">#REF!</definedName>
    <definedName name="SEG2_DIRECTION1">#REF!</definedName>
    <definedName name="SEG2_FROM1" localSheetId="1">#REF!</definedName>
    <definedName name="SEG2_FROM1" localSheetId="2">#REF!</definedName>
    <definedName name="SEG2_FROM1" localSheetId="3">#REF!</definedName>
    <definedName name="SEG2_FROM1" localSheetId="4">#REF!</definedName>
    <definedName name="SEG2_FROM1" localSheetId="5">#REF!</definedName>
    <definedName name="SEG2_FROM1" localSheetId="6">#REF!</definedName>
    <definedName name="SEG2_FROM1" localSheetId="7">#REF!</definedName>
    <definedName name="SEG2_FROM1" localSheetId="8">#REF!</definedName>
    <definedName name="SEG2_FROM1">#REF!</definedName>
    <definedName name="SEG2_SORT1" localSheetId="1">#REF!</definedName>
    <definedName name="SEG2_SORT1" localSheetId="2">#REF!</definedName>
    <definedName name="SEG2_SORT1" localSheetId="3">#REF!</definedName>
    <definedName name="SEG2_SORT1" localSheetId="4">#REF!</definedName>
    <definedName name="SEG2_SORT1" localSheetId="5">#REF!</definedName>
    <definedName name="SEG2_SORT1" localSheetId="6">#REF!</definedName>
    <definedName name="SEG2_SORT1" localSheetId="7">#REF!</definedName>
    <definedName name="SEG2_SORT1" localSheetId="8">#REF!</definedName>
    <definedName name="SEG2_SORT1">#REF!</definedName>
    <definedName name="SEG2_TO1" localSheetId="1">#REF!</definedName>
    <definedName name="SEG2_TO1" localSheetId="2">#REF!</definedName>
    <definedName name="SEG2_TO1" localSheetId="3">#REF!</definedName>
    <definedName name="SEG2_TO1" localSheetId="4">#REF!</definedName>
    <definedName name="SEG2_TO1" localSheetId="5">#REF!</definedName>
    <definedName name="SEG2_TO1" localSheetId="6">#REF!</definedName>
    <definedName name="SEG2_TO1" localSheetId="7">#REF!</definedName>
    <definedName name="SEG2_TO1" localSheetId="8">#REF!</definedName>
    <definedName name="SEG2_TO1">#REF!</definedName>
    <definedName name="SEG3_DIRECTION1" localSheetId="1">#REF!</definedName>
    <definedName name="SEG3_DIRECTION1" localSheetId="2">#REF!</definedName>
    <definedName name="SEG3_DIRECTION1" localSheetId="3">#REF!</definedName>
    <definedName name="SEG3_DIRECTION1" localSheetId="4">#REF!</definedName>
    <definedName name="SEG3_DIRECTION1" localSheetId="5">#REF!</definedName>
    <definedName name="SEG3_DIRECTION1" localSheetId="6">#REF!</definedName>
    <definedName name="SEG3_DIRECTION1" localSheetId="7">#REF!</definedName>
    <definedName name="SEG3_DIRECTION1" localSheetId="8">#REF!</definedName>
    <definedName name="SEG3_DIRECTION1">#REF!</definedName>
    <definedName name="SEG3_FROM1" localSheetId="1">#REF!</definedName>
    <definedName name="SEG3_FROM1" localSheetId="2">#REF!</definedName>
    <definedName name="SEG3_FROM1" localSheetId="3">#REF!</definedName>
    <definedName name="SEG3_FROM1" localSheetId="4">#REF!</definedName>
    <definedName name="SEG3_FROM1" localSheetId="5">#REF!</definedName>
    <definedName name="SEG3_FROM1" localSheetId="6">#REF!</definedName>
    <definedName name="SEG3_FROM1" localSheetId="7">#REF!</definedName>
    <definedName name="SEG3_FROM1" localSheetId="8">#REF!</definedName>
    <definedName name="SEG3_FROM1">#REF!</definedName>
    <definedName name="SEG3_SORT1" localSheetId="1">#REF!</definedName>
    <definedName name="SEG3_SORT1" localSheetId="2">#REF!</definedName>
    <definedName name="SEG3_SORT1" localSheetId="3">#REF!</definedName>
    <definedName name="SEG3_SORT1" localSheetId="4">#REF!</definedName>
    <definedName name="SEG3_SORT1" localSheetId="5">#REF!</definedName>
    <definedName name="SEG3_SORT1" localSheetId="6">#REF!</definedName>
    <definedName name="SEG3_SORT1" localSheetId="7">#REF!</definedName>
    <definedName name="SEG3_SORT1" localSheetId="8">#REF!</definedName>
    <definedName name="SEG3_SORT1">#REF!</definedName>
    <definedName name="SEG3_TO1" localSheetId="1">#REF!</definedName>
    <definedName name="SEG3_TO1" localSheetId="2">#REF!</definedName>
    <definedName name="SEG3_TO1" localSheetId="3">#REF!</definedName>
    <definedName name="SEG3_TO1" localSheetId="4">#REF!</definedName>
    <definedName name="SEG3_TO1" localSheetId="5">#REF!</definedName>
    <definedName name="SEG3_TO1" localSheetId="6">#REF!</definedName>
    <definedName name="SEG3_TO1" localSheetId="7">#REF!</definedName>
    <definedName name="SEG3_TO1" localSheetId="8">#REF!</definedName>
    <definedName name="SEG3_TO1">#REF!</definedName>
    <definedName name="SEG4_DIRECTION1" localSheetId="1">#REF!</definedName>
    <definedName name="SEG4_DIRECTION1" localSheetId="2">#REF!</definedName>
    <definedName name="SEG4_DIRECTION1" localSheetId="3">#REF!</definedName>
    <definedName name="SEG4_DIRECTION1" localSheetId="4">#REF!</definedName>
    <definedName name="SEG4_DIRECTION1" localSheetId="5">#REF!</definedName>
    <definedName name="SEG4_DIRECTION1" localSheetId="6">#REF!</definedName>
    <definedName name="SEG4_DIRECTION1" localSheetId="7">#REF!</definedName>
    <definedName name="SEG4_DIRECTION1" localSheetId="8">#REF!</definedName>
    <definedName name="SEG4_DIRECTION1">#REF!</definedName>
    <definedName name="SEG4_FROM1" localSheetId="1">#REF!</definedName>
    <definedName name="SEG4_FROM1" localSheetId="2">#REF!</definedName>
    <definedName name="SEG4_FROM1" localSheetId="3">#REF!</definedName>
    <definedName name="SEG4_FROM1" localSheetId="4">#REF!</definedName>
    <definedName name="SEG4_FROM1" localSheetId="5">#REF!</definedName>
    <definedName name="SEG4_FROM1" localSheetId="6">#REF!</definedName>
    <definedName name="SEG4_FROM1" localSheetId="7">#REF!</definedName>
    <definedName name="SEG4_FROM1" localSheetId="8">#REF!</definedName>
    <definedName name="SEG4_FROM1">#REF!</definedName>
    <definedName name="SEG4_SORT1" localSheetId="1">#REF!</definedName>
    <definedName name="SEG4_SORT1" localSheetId="2">#REF!</definedName>
    <definedName name="SEG4_SORT1" localSheetId="3">#REF!</definedName>
    <definedName name="SEG4_SORT1" localSheetId="4">#REF!</definedName>
    <definedName name="SEG4_SORT1" localSheetId="5">#REF!</definedName>
    <definedName name="SEG4_SORT1" localSheetId="6">#REF!</definedName>
    <definedName name="SEG4_SORT1" localSheetId="7">#REF!</definedName>
    <definedName name="SEG4_SORT1" localSheetId="8">#REF!</definedName>
    <definedName name="SEG4_SORT1">#REF!</definedName>
    <definedName name="SEG4_TO1" localSheetId="1">#REF!</definedName>
    <definedName name="SEG4_TO1" localSheetId="2">#REF!</definedName>
    <definedName name="SEG4_TO1" localSheetId="3">#REF!</definedName>
    <definedName name="SEG4_TO1" localSheetId="4">#REF!</definedName>
    <definedName name="SEG4_TO1" localSheetId="5">#REF!</definedName>
    <definedName name="SEG4_TO1" localSheetId="6">#REF!</definedName>
    <definedName name="SEG4_TO1" localSheetId="7">#REF!</definedName>
    <definedName name="SEG4_TO1" localSheetId="8">#REF!</definedName>
    <definedName name="SEG4_TO1">#REF!</definedName>
    <definedName name="SEG5_DIRECTION1" localSheetId="1">#REF!</definedName>
    <definedName name="SEG5_DIRECTION1" localSheetId="2">#REF!</definedName>
    <definedName name="SEG5_DIRECTION1" localSheetId="3">#REF!</definedName>
    <definedName name="SEG5_DIRECTION1" localSheetId="4">#REF!</definedName>
    <definedName name="SEG5_DIRECTION1" localSheetId="5">#REF!</definedName>
    <definedName name="SEG5_DIRECTION1" localSheetId="6">#REF!</definedName>
    <definedName name="SEG5_DIRECTION1" localSheetId="7">#REF!</definedName>
    <definedName name="SEG5_DIRECTION1" localSheetId="8">#REF!</definedName>
    <definedName name="SEG5_DIRECTION1">#REF!</definedName>
    <definedName name="SEG5_FROM1" localSheetId="1">#REF!</definedName>
    <definedName name="SEG5_FROM1" localSheetId="2">#REF!</definedName>
    <definedName name="SEG5_FROM1" localSheetId="3">#REF!</definedName>
    <definedName name="SEG5_FROM1" localSheetId="4">#REF!</definedName>
    <definedName name="SEG5_FROM1" localSheetId="5">#REF!</definedName>
    <definedName name="SEG5_FROM1" localSheetId="6">#REF!</definedName>
    <definedName name="SEG5_FROM1" localSheetId="7">#REF!</definedName>
    <definedName name="SEG5_FROM1" localSheetId="8">#REF!</definedName>
    <definedName name="SEG5_FROM1">#REF!</definedName>
    <definedName name="SEG5_SORT1" localSheetId="1">#REF!</definedName>
    <definedName name="SEG5_SORT1" localSheetId="2">#REF!</definedName>
    <definedName name="SEG5_SORT1" localSheetId="3">#REF!</definedName>
    <definedName name="SEG5_SORT1" localSheetId="4">#REF!</definedName>
    <definedName name="SEG5_SORT1" localSheetId="5">#REF!</definedName>
    <definedName name="SEG5_SORT1" localSheetId="6">#REF!</definedName>
    <definedName name="SEG5_SORT1" localSheetId="7">#REF!</definedName>
    <definedName name="SEG5_SORT1" localSheetId="8">#REF!</definedName>
    <definedName name="SEG5_SORT1">#REF!</definedName>
    <definedName name="SEG5_TO1" localSheetId="1">#REF!</definedName>
    <definedName name="SEG5_TO1" localSheetId="2">#REF!</definedName>
    <definedName name="SEG5_TO1" localSheetId="3">#REF!</definedName>
    <definedName name="SEG5_TO1" localSheetId="4">#REF!</definedName>
    <definedName name="SEG5_TO1" localSheetId="5">#REF!</definedName>
    <definedName name="SEG5_TO1" localSheetId="6">#REF!</definedName>
    <definedName name="SEG5_TO1" localSheetId="7">#REF!</definedName>
    <definedName name="SEG5_TO1" localSheetId="8">#REF!</definedName>
    <definedName name="SEG5_TO1">#REF!</definedName>
    <definedName name="sepgas" localSheetId="1">#REF!</definedName>
    <definedName name="sepgas" localSheetId="2">#REF!</definedName>
    <definedName name="sepgas" localSheetId="3">#REF!</definedName>
    <definedName name="sepgas" localSheetId="4">#REF!</definedName>
    <definedName name="sepgas" localSheetId="5">#REF!</definedName>
    <definedName name="sepgas" localSheetId="6">#REF!</definedName>
    <definedName name="sepgas" localSheetId="7">#REF!</definedName>
    <definedName name="sepgas" localSheetId="8">#REF!</definedName>
    <definedName name="sepgas">#REF!</definedName>
    <definedName name="SETOFBOOKSID1" localSheetId="1">#REF!</definedName>
    <definedName name="SETOFBOOKSID1" localSheetId="2">#REF!</definedName>
    <definedName name="SETOFBOOKSID1" localSheetId="3">#REF!</definedName>
    <definedName name="SETOFBOOKSID1" localSheetId="4">#REF!</definedName>
    <definedName name="SETOFBOOKSID1" localSheetId="5">#REF!</definedName>
    <definedName name="SETOFBOOKSID1" localSheetId="6">#REF!</definedName>
    <definedName name="SETOFBOOKSID1" localSheetId="7">#REF!</definedName>
    <definedName name="SETOFBOOKSID1" localSheetId="8">#REF!</definedName>
    <definedName name="SETOFBOOKSID1">#REF!</definedName>
    <definedName name="SETOFBOOKSNAME1" localSheetId="1">#REF!</definedName>
    <definedName name="SETOFBOOKSNAME1" localSheetId="2">#REF!</definedName>
    <definedName name="SETOFBOOKSNAME1" localSheetId="3">#REF!</definedName>
    <definedName name="SETOFBOOKSNAME1" localSheetId="4">#REF!</definedName>
    <definedName name="SETOFBOOKSNAME1" localSheetId="5">#REF!</definedName>
    <definedName name="SETOFBOOKSNAME1" localSheetId="6">#REF!</definedName>
    <definedName name="SETOFBOOKSNAME1" localSheetId="7">#REF!</definedName>
    <definedName name="SETOFBOOKSNAME1" localSheetId="8">#REF!</definedName>
    <definedName name="SETOFBOOKSNAME1">#REF!</definedName>
    <definedName name="SME_Rating" localSheetId="1">'[1]Source Data'!$B$742:$B$746</definedName>
    <definedName name="SME_Rating" localSheetId="2">'[1]Source Data'!$B$742:$B$746</definedName>
    <definedName name="SME_Rating" localSheetId="7">'[2]Source Data'!$B$742:$B$746</definedName>
    <definedName name="SME_Rating">'[3]Source Data'!$B$742:$B$746</definedName>
    <definedName name="SME_Score" localSheetId="1">'[1]Source Data'!$B$742:$C$746</definedName>
    <definedName name="SME_Score" localSheetId="2">'[1]Source Data'!$B$742:$C$746</definedName>
    <definedName name="SME_Score" localSheetId="7">'[2]Source Data'!$B$742:$C$746</definedName>
    <definedName name="SME_Score">'[3]Source Data'!$B$742:$C$746</definedName>
    <definedName name="soda_ash_price" localSheetId="1">#REF!</definedName>
    <definedName name="soda_ash_price" localSheetId="2">#REF!</definedName>
    <definedName name="soda_ash_price" localSheetId="3">#REF!</definedName>
    <definedName name="soda_ash_price" localSheetId="4">#REF!</definedName>
    <definedName name="soda_ash_price" localSheetId="5">#REF!</definedName>
    <definedName name="soda_ash_price" localSheetId="6">#REF!</definedName>
    <definedName name="soda_ash_price" localSheetId="7">#REF!</definedName>
    <definedName name="soda_ash_price" localSheetId="8">#REF!</definedName>
    <definedName name="soda_ash_price">#REF!</definedName>
    <definedName name="Start_55" localSheetId="1">#REF!</definedName>
    <definedName name="Start_55" localSheetId="2">#REF!</definedName>
    <definedName name="Start_55" localSheetId="3">#REF!</definedName>
    <definedName name="Start_55" localSheetId="4">#REF!</definedName>
    <definedName name="Start_55" localSheetId="5">#REF!</definedName>
    <definedName name="Start_55" localSheetId="6">#REF!</definedName>
    <definedName name="Start_55" localSheetId="7">#REF!</definedName>
    <definedName name="Start_55" localSheetId="8">#REF!</definedName>
    <definedName name="Start_55">#REF!</definedName>
    <definedName name="Start_56" localSheetId="1">#REF!</definedName>
    <definedName name="Start_56" localSheetId="2">#REF!</definedName>
    <definedName name="Start_56" localSheetId="3">#REF!</definedName>
    <definedName name="Start_56" localSheetId="4">#REF!</definedName>
    <definedName name="Start_56" localSheetId="5">#REF!</definedName>
    <definedName name="Start_56" localSheetId="6">#REF!</definedName>
    <definedName name="Start_56" localSheetId="7">#REF!</definedName>
    <definedName name="Start_56" localSheetId="8">#REF!</definedName>
    <definedName name="Start_56">#REF!</definedName>
    <definedName name="Start_57" localSheetId="1">#REF!</definedName>
    <definedName name="Start_57" localSheetId="2">#REF!</definedName>
    <definedName name="Start_57" localSheetId="3">#REF!</definedName>
    <definedName name="Start_57" localSheetId="4">#REF!</definedName>
    <definedName name="Start_57" localSheetId="5">#REF!</definedName>
    <definedName name="Start_57" localSheetId="6">#REF!</definedName>
    <definedName name="Start_57" localSheetId="7">#REF!</definedName>
    <definedName name="Start_57" localSheetId="8">#REF!</definedName>
    <definedName name="Start_57">#REF!</definedName>
    <definedName name="Start_58" localSheetId="1">#REF!</definedName>
    <definedName name="Start_58" localSheetId="2">#REF!</definedName>
    <definedName name="Start_58" localSheetId="3">#REF!</definedName>
    <definedName name="Start_58" localSheetId="4">#REF!</definedName>
    <definedName name="Start_58" localSheetId="5">#REF!</definedName>
    <definedName name="Start_58" localSheetId="6">#REF!</definedName>
    <definedName name="Start_58" localSheetId="7">#REF!</definedName>
    <definedName name="Start_58" localSheetId="8">#REF!</definedName>
    <definedName name="Start_58">#REF!</definedName>
    <definedName name="Start_59" localSheetId="1">#REF!</definedName>
    <definedName name="Start_59" localSheetId="2">#REF!</definedName>
    <definedName name="Start_59" localSheetId="3">#REF!</definedName>
    <definedName name="Start_59" localSheetId="4">#REF!</definedName>
    <definedName name="Start_59" localSheetId="5">#REF!</definedName>
    <definedName name="Start_59" localSheetId="6">#REF!</definedName>
    <definedName name="Start_59" localSheetId="7">#REF!</definedName>
    <definedName name="Start_59" localSheetId="8">#REF!</definedName>
    <definedName name="Start_59">#REF!</definedName>
    <definedName name="STARTBUDGETPOST1" localSheetId="1">#REF!</definedName>
    <definedName name="STARTBUDGETPOST1" localSheetId="2">#REF!</definedName>
    <definedName name="STARTBUDGETPOST1" localSheetId="3">#REF!</definedName>
    <definedName name="STARTBUDGETPOST1" localSheetId="4">#REF!</definedName>
    <definedName name="STARTBUDGETPOST1" localSheetId="5">#REF!</definedName>
    <definedName name="STARTBUDGETPOST1" localSheetId="6">#REF!</definedName>
    <definedName name="STARTBUDGETPOST1" localSheetId="7">#REF!</definedName>
    <definedName name="STARTBUDGETPOST1" localSheetId="8">#REF!</definedName>
    <definedName name="STARTBUDGETPOST1">#REF!</definedName>
    <definedName name="STARTPERIODNAME1" localSheetId="1">#REF!</definedName>
    <definedName name="STARTPERIODNAME1" localSheetId="2">#REF!</definedName>
    <definedName name="STARTPERIODNAME1" localSheetId="3">#REF!</definedName>
    <definedName name="STARTPERIODNAME1" localSheetId="4">#REF!</definedName>
    <definedName name="STARTPERIODNAME1" localSheetId="5">#REF!</definedName>
    <definedName name="STARTPERIODNAME1" localSheetId="6">#REF!</definedName>
    <definedName name="STARTPERIODNAME1" localSheetId="7">#REF!</definedName>
    <definedName name="STARTPERIODNAME1" localSheetId="8">#REF!</definedName>
    <definedName name="STARTPERIODNAME1">#REF!</definedName>
    <definedName name="STARTPERIODNUM1" localSheetId="1">#REF!</definedName>
    <definedName name="STARTPERIODNUM1" localSheetId="2">#REF!</definedName>
    <definedName name="STARTPERIODNUM1" localSheetId="3">#REF!</definedName>
    <definedName name="STARTPERIODNUM1" localSheetId="4">#REF!</definedName>
    <definedName name="STARTPERIODNUM1" localSheetId="5">#REF!</definedName>
    <definedName name="STARTPERIODNUM1" localSheetId="6">#REF!</definedName>
    <definedName name="STARTPERIODNUM1" localSheetId="7">#REF!</definedName>
    <definedName name="STARTPERIODNUM1" localSheetId="8">#REF!</definedName>
    <definedName name="STARTPERIODNUM1">#REF!</definedName>
    <definedName name="STARTPERIODYEAR1" localSheetId="1">#REF!</definedName>
    <definedName name="STARTPERIODYEAR1" localSheetId="2">#REF!</definedName>
    <definedName name="STARTPERIODYEAR1" localSheetId="3">#REF!</definedName>
    <definedName name="STARTPERIODYEAR1" localSheetId="4">#REF!</definedName>
    <definedName name="STARTPERIODYEAR1" localSheetId="5">#REF!</definedName>
    <definedName name="STARTPERIODYEAR1" localSheetId="6">#REF!</definedName>
    <definedName name="STARTPERIODYEAR1" localSheetId="7">#REF!</definedName>
    <definedName name="STARTPERIODYEAR1" localSheetId="8">#REF!</definedName>
    <definedName name="STARTPERIODYEAR1">#REF!</definedName>
    <definedName name="Status" localSheetId="1">'[1]Source Data'!$B$612:$B$617</definedName>
    <definedName name="Status" localSheetId="2">'[1]Source Data'!$B$612:$B$617</definedName>
    <definedName name="Status" localSheetId="7">'[2]Source Data'!$B$612:$B$617</definedName>
    <definedName name="Status">'[3]Source Data'!$B$612:$B$617</definedName>
    <definedName name="System_Issues" localSheetId="1">'[1]Source Data'!$B$756:$B$759</definedName>
    <definedName name="System_Issues" localSheetId="2">'[1]Source Data'!$B$756:$B$759</definedName>
    <definedName name="System_Issues" localSheetId="7">'[2]Source Data'!$B$756:$B$759</definedName>
    <definedName name="System_Issues">'[3]Source Data'!$B$756:$B$759</definedName>
    <definedName name="System_Issues_Score" localSheetId="1">'[1]Source Data'!$B$756:$C$759</definedName>
    <definedName name="System_Issues_Score" localSheetId="2">'[1]Source Data'!$B$756:$C$759</definedName>
    <definedName name="System_Issues_Score" localSheetId="7">'[2]Source Data'!$B$756:$C$759</definedName>
    <definedName name="System_Issues_Score">'[3]Source Data'!$B$756:$C$759</definedName>
    <definedName name="tax" localSheetId="1"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localSheetId="2"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localSheetId="3"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localSheetId="4"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localSheetId="5"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localSheetId="6"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localSheetId="7"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localSheetId="8"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PDATELOGICTYPE1" localSheetId="1">#REF!</definedName>
    <definedName name="UPDATELOGICTYPE1" localSheetId="2">#REF!</definedName>
    <definedName name="UPDATELOGICTYPE1" localSheetId="3">#REF!</definedName>
    <definedName name="UPDATELOGICTYPE1" localSheetId="4">#REF!</definedName>
    <definedName name="UPDATELOGICTYPE1" localSheetId="5">#REF!</definedName>
    <definedName name="UPDATELOGICTYPE1" localSheetId="6">#REF!</definedName>
    <definedName name="UPDATELOGICTYPE1" localSheetId="7">#REF!</definedName>
    <definedName name="UPDATELOGICTYPE1" localSheetId="8">#REF!</definedName>
    <definedName name="UPDATELOGICTYPE1">#REF!</definedName>
    <definedName name="Vintage" localSheetId="1">'[1]Source Data'!$B$684:$B$690</definedName>
    <definedName name="Vintage" localSheetId="2">'[1]Source Data'!$B$684:$B$690</definedName>
    <definedName name="Vintage" localSheetId="7">'[2]Source Data'!$B$684:$B$690</definedName>
    <definedName name="Vintage">'[3]Source Data'!$B$684:$B$690</definedName>
    <definedName name="Vintage_Score" localSheetId="1">'[1]Source Data'!$B$684:$C$690</definedName>
    <definedName name="Vintage_Score" localSheetId="2">'[1]Source Data'!$B$684:$C$690</definedName>
    <definedName name="Vintage_Score" localSheetId="7">'[2]Source Data'!$B$684:$C$690</definedName>
    <definedName name="Vintage_Score">'[3]Source Data'!$B$684:$C$690</definedName>
    <definedName name="w" localSheetId="1"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localSheetId="2"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localSheetId="3"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localSheetId="4"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localSheetId="5"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localSheetId="6"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localSheetId="7"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localSheetId="8"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GS4_coal_HV" localSheetId="1">#REF!</definedName>
    <definedName name="WGS4_coal_HV" localSheetId="2">#REF!</definedName>
    <definedName name="WGS4_coal_HV" localSheetId="3">#REF!</definedName>
    <definedName name="WGS4_coal_HV" localSheetId="4">#REF!</definedName>
    <definedName name="WGS4_coal_HV" localSheetId="5">#REF!</definedName>
    <definedName name="WGS4_coal_HV" localSheetId="6">#REF!</definedName>
    <definedName name="WGS4_coal_HV" localSheetId="7">#REF!</definedName>
    <definedName name="WGS4_coal_HV" localSheetId="8">#REF!</definedName>
    <definedName name="WGS4_coal_HV">#REF!</definedName>
    <definedName name="WGS4_coal_price" localSheetId="1">#REF!</definedName>
    <definedName name="WGS4_coal_price" localSheetId="2">#REF!</definedName>
    <definedName name="WGS4_coal_price" localSheetId="3">#REF!</definedName>
    <definedName name="WGS4_coal_price" localSheetId="4">#REF!</definedName>
    <definedName name="WGS4_coal_price" localSheetId="5">#REF!</definedName>
    <definedName name="WGS4_coal_price" localSheetId="6">#REF!</definedName>
    <definedName name="WGS4_coal_price" localSheetId="7">#REF!</definedName>
    <definedName name="WGS4_coal_price" localSheetId="8">#REF!</definedName>
    <definedName name="WGS4_coal_price">#REF!</definedName>
    <definedName name="WGS4_coal_S" localSheetId="1">#REF!</definedName>
    <definedName name="WGS4_coal_S" localSheetId="2">#REF!</definedName>
    <definedName name="WGS4_coal_S" localSheetId="3">#REF!</definedName>
    <definedName name="WGS4_coal_S" localSheetId="4">#REF!</definedName>
    <definedName name="WGS4_coal_S" localSheetId="5">#REF!</definedName>
    <definedName name="WGS4_coal_S" localSheetId="6">#REF!</definedName>
    <definedName name="WGS4_coal_S" localSheetId="7">#REF!</definedName>
    <definedName name="WGS4_coal_S" localSheetId="8">#REF!</definedName>
    <definedName name="WGS4_coal_S">#REF!</definedName>
    <definedName name="wrn.04._.PM._.Rpt._.Draft." localSheetId="1"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localSheetId="2"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localSheetId="3"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localSheetId="4"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localSheetId="5"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localSheetId="6"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localSheetId="7"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localSheetId="8"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Targets." localSheetId="1" hidden="1">{#N/A,#N/A,FALSE,"04 Target Calc.";#N/A,#N/A,FALSE,"03 Projection Calc"}</definedName>
    <definedName name="wrn.04._.Targets." localSheetId="2" hidden="1">{#N/A,#N/A,FALSE,"04 Target Calc.";#N/A,#N/A,FALSE,"03 Projection Calc"}</definedName>
    <definedName name="wrn.04._.Targets." localSheetId="3" hidden="1">{#N/A,#N/A,FALSE,"04 Target Calc.";#N/A,#N/A,FALSE,"03 Projection Calc"}</definedName>
    <definedName name="wrn.04._.Targets." localSheetId="4" hidden="1">{#N/A,#N/A,FALSE,"04 Target Calc.";#N/A,#N/A,FALSE,"03 Projection Calc"}</definedName>
    <definedName name="wrn.04._.Targets." localSheetId="5" hidden="1">{#N/A,#N/A,FALSE,"04 Target Calc.";#N/A,#N/A,FALSE,"03 Projection Calc"}</definedName>
    <definedName name="wrn.04._.Targets." localSheetId="6" hidden="1">{#N/A,#N/A,FALSE,"04 Target Calc.";#N/A,#N/A,FALSE,"03 Projection Calc"}</definedName>
    <definedName name="wrn.04._.Targets." localSheetId="7" hidden="1">{#N/A,#N/A,FALSE,"04 Target Calc.";#N/A,#N/A,FALSE,"03 Projection Calc"}</definedName>
    <definedName name="wrn.04._.Targets." localSheetId="8" hidden="1">{#N/A,#N/A,FALSE,"04 Target Calc.";#N/A,#N/A,FALSE,"03 Projection Calc"}</definedName>
    <definedName name="wrn.04._.Targets." hidden="1">{#N/A,#N/A,FALSE,"04 Target Calc.";#N/A,#N/A,FALSE,"03 Projection Calc"}</definedName>
    <definedName name="wrn.Feb._.Senior._.Staff." localSheetId="1"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localSheetId="2"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localSheetId="3"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localSheetId="4"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localSheetId="5"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localSheetId="6"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localSheetId="7"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localSheetId="8"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PRINTALL." localSheetId="1" hidden="1">{"Page 1",#N/A,FALSE,"pages 1     2";"Page 2",#N/A,FALSE,"pages 1     2";"Page 3",#N/A,FALSE,"page 3";"Page4",#N/A,FALSE,"page 4";"Page 5",#N/A,FALSE,"pages 5   6   7";"Page 6",#N/A,FALSE,"pages 5   6   7";"Page 7",#N/A,FALSE,"pages 5   6   7";"Page 8",#N/A,FALSE,"page 8";"Page 9",#N/A,FALSE,"pg 9";"APX B",#N/A,FALSE,"APX B";"APX C",#N/A,FALSE,"Apx C"}</definedName>
    <definedName name="wrn.PRINTALL." localSheetId="2" hidden="1">{"Page 1",#N/A,FALSE,"pages 1     2";"Page 2",#N/A,FALSE,"pages 1     2";"Page 3",#N/A,FALSE,"page 3";"Page4",#N/A,FALSE,"page 4";"Page 5",#N/A,FALSE,"pages 5   6   7";"Page 6",#N/A,FALSE,"pages 5   6   7";"Page 7",#N/A,FALSE,"pages 5   6   7";"Page 8",#N/A,FALSE,"page 8";"Page 9",#N/A,FALSE,"pg 9";"APX B",#N/A,FALSE,"APX B";"APX C",#N/A,FALSE,"Apx C"}</definedName>
    <definedName name="wrn.PRINTALL." localSheetId="3" hidden="1">{"Page 1",#N/A,FALSE,"pages 1     2";"Page 2",#N/A,FALSE,"pages 1     2";"Page 3",#N/A,FALSE,"page 3";"Page4",#N/A,FALSE,"page 4";"Page 5",#N/A,FALSE,"pages 5   6   7";"Page 6",#N/A,FALSE,"pages 5   6   7";"Page 7",#N/A,FALSE,"pages 5   6   7";"Page 8",#N/A,FALSE,"page 8";"Page 9",#N/A,FALSE,"pg 9";"APX B",#N/A,FALSE,"APX B";"APX C",#N/A,FALSE,"Apx C"}</definedName>
    <definedName name="wrn.PRINTALL." localSheetId="4" hidden="1">{"Page 1",#N/A,FALSE,"pages 1     2";"Page 2",#N/A,FALSE,"pages 1     2";"Page 3",#N/A,FALSE,"page 3";"Page4",#N/A,FALSE,"page 4";"Page 5",#N/A,FALSE,"pages 5   6   7";"Page 6",#N/A,FALSE,"pages 5   6   7";"Page 7",#N/A,FALSE,"pages 5   6   7";"Page 8",#N/A,FALSE,"page 8";"Page 9",#N/A,FALSE,"pg 9";"APX B",#N/A,FALSE,"APX B";"APX C",#N/A,FALSE,"Apx C"}</definedName>
    <definedName name="wrn.PRINTALL." localSheetId="5" hidden="1">{"Page 1",#N/A,FALSE,"pages 1     2";"Page 2",#N/A,FALSE,"pages 1     2";"Page 3",#N/A,FALSE,"page 3";"Page4",#N/A,FALSE,"page 4";"Page 5",#N/A,FALSE,"pages 5   6   7";"Page 6",#N/A,FALSE,"pages 5   6   7";"Page 7",#N/A,FALSE,"pages 5   6   7";"Page 8",#N/A,FALSE,"page 8";"Page 9",#N/A,FALSE,"pg 9";"APX B",#N/A,FALSE,"APX B";"APX C",#N/A,FALSE,"Apx C"}</definedName>
    <definedName name="wrn.PRINTALL." localSheetId="6" hidden="1">{"Page 1",#N/A,FALSE,"pages 1     2";"Page 2",#N/A,FALSE,"pages 1     2";"Page 3",#N/A,FALSE,"page 3";"Page4",#N/A,FALSE,"page 4";"Page 5",#N/A,FALSE,"pages 5   6   7";"Page 6",#N/A,FALSE,"pages 5   6   7";"Page 7",#N/A,FALSE,"pages 5   6   7";"Page 8",#N/A,FALSE,"page 8";"Page 9",#N/A,FALSE,"pg 9";"APX B",#N/A,FALSE,"APX B";"APX C",#N/A,FALSE,"Apx C"}</definedName>
    <definedName name="wrn.PRINTALL." localSheetId="7" hidden="1">{"Page 1",#N/A,FALSE,"pages 1     2";"Page 2",#N/A,FALSE,"pages 1     2";"Page 3",#N/A,FALSE,"page 3";"Page4",#N/A,FALSE,"page 4";"Page 5",#N/A,FALSE,"pages 5   6   7";"Page 6",#N/A,FALSE,"pages 5   6   7";"Page 7",#N/A,FALSE,"pages 5   6   7";"Page 8",#N/A,FALSE,"page 8";"Page 9",#N/A,FALSE,"pg 9";"APX B",#N/A,FALSE,"APX B";"APX C",#N/A,FALSE,"Apx C"}</definedName>
    <definedName name="wrn.PRINTALL." localSheetId="8" hidden="1">{"Page 1",#N/A,FALSE,"pages 1     2";"Page 2",#N/A,FALSE,"pages 1     2";"Page 3",#N/A,FALSE,"page 3";"Page4",#N/A,FALSE,"page 4";"Page 5",#N/A,FALSE,"pages 5   6   7";"Page 6",#N/A,FALSE,"pages 5   6   7";"Page 7",#N/A,FALSE,"pages 5   6   7";"Page 8",#N/A,FALSE,"page 8";"Page 9",#N/A,FALSE,"pg 9";"APX B",#N/A,FALSE,"APX B";"APX C",#N/A,FALSE,"Apx C"}</definedName>
    <definedName name="wrn.PRINTALL." hidden="1">{"Page 1",#N/A,FALSE,"pages 1     2";"Page 2",#N/A,FALSE,"pages 1     2";"Page 3",#N/A,FALSE,"page 3";"Page4",#N/A,FALSE,"page 4";"Page 5",#N/A,FALSE,"pages 5   6   7";"Page 6",#N/A,FALSE,"pages 5   6   7";"Page 7",#N/A,FALSE,"pages 5   6   7";"Page 8",#N/A,FALSE,"page 8";"Page 9",#N/A,FALSE,"pg 9";"APX B",#N/A,FALSE,"APX B";"APX C",#N/A,FALSE,"Apx C"}</definedName>
    <definedName name="wrn.Senior._.Staff." localSheetId="1"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localSheetId="2"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localSheetId="3"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localSheetId="4"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localSheetId="5"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localSheetId="6"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localSheetId="7"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localSheetId="8"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1"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2"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3"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4"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5"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6"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7"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8"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_ABB_coal_HV" localSheetId="1">#REF!</definedName>
    <definedName name="WS_ABB_coal_HV" localSheetId="2">#REF!</definedName>
    <definedName name="WS_ABB_coal_HV" localSheetId="3">#REF!</definedName>
    <definedName name="WS_ABB_coal_HV" localSheetId="4">#REF!</definedName>
    <definedName name="WS_ABB_coal_HV" localSheetId="5">#REF!</definedName>
    <definedName name="WS_ABB_coal_HV" localSheetId="6">#REF!</definedName>
    <definedName name="WS_ABB_coal_HV" localSheetId="7">#REF!</definedName>
    <definedName name="WS_ABB_coal_HV" localSheetId="8">#REF!</definedName>
    <definedName name="WS_ABB_coal_HV">#REF!</definedName>
    <definedName name="WS_ABB_coal_price" localSheetId="1">#REF!</definedName>
    <definedName name="WS_ABB_coal_price" localSheetId="2">#REF!</definedName>
    <definedName name="WS_ABB_coal_price" localSheetId="3">#REF!</definedName>
    <definedName name="WS_ABB_coal_price" localSheetId="4">#REF!</definedName>
    <definedName name="WS_ABB_coal_price" localSheetId="5">#REF!</definedName>
    <definedName name="WS_ABB_coal_price" localSheetId="6">#REF!</definedName>
    <definedName name="WS_ABB_coal_price" localSheetId="7">#REF!</definedName>
    <definedName name="WS_ABB_coal_price" localSheetId="8">#REF!</definedName>
    <definedName name="WS_ABB_coal_price">#REF!</definedName>
    <definedName name="WS_ABB_coal_S" localSheetId="1">#REF!</definedName>
    <definedName name="WS_ABB_coal_S" localSheetId="2">#REF!</definedName>
    <definedName name="WS_ABB_coal_S" localSheetId="3">#REF!</definedName>
    <definedName name="WS_ABB_coal_S" localSheetId="4">#REF!</definedName>
    <definedName name="WS_ABB_coal_S" localSheetId="5">#REF!</definedName>
    <definedName name="WS_ABB_coal_S" localSheetId="6">#REF!</definedName>
    <definedName name="WS_ABB_coal_S" localSheetId="7">#REF!</definedName>
    <definedName name="WS_ABB_coal_S" localSheetId="8">#REF!</definedName>
    <definedName name="WS_ABB_coal_S">#REF!</definedName>
    <definedName name="WS_ABB1_erate" localSheetId="1">#REF!</definedName>
    <definedName name="WS_ABB1_erate" localSheetId="2">#REF!</definedName>
    <definedName name="WS_ABB1_erate" localSheetId="3">#REF!</definedName>
    <definedName name="WS_ABB1_erate" localSheetId="4">#REF!</definedName>
    <definedName name="WS_ABB1_erate" localSheetId="5">#REF!</definedName>
    <definedName name="WS_ABB1_erate" localSheetId="6">#REF!</definedName>
    <definedName name="WS_ABB1_erate" localSheetId="7">#REF!</definedName>
    <definedName name="WS_ABB1_erate" localSheetId="8">#REF!</definedName>
    <definedName name="WS_ABB1_erate">#REF!</definedName>
    <definedName name="WS_ABB1_lm_rate" localSheetId="1">#REF!</definedName>
    <definedName name="WS_ABB1_lm_rate" localSheetId="2">#REF!</definedName>
    <definedName name="WS_ABB1_lm_rate" localSheetId="3">#REF!</definedName>
    <definedName name="WS_ABB1_lm_rate" localSheetId="4">#REF!</definedName>
    <definedName name="WS_ABB1_lm_rate" localSheetId="5">#REF!</definedName>
    <definedName name="WS_ABB1_lm_rate" localSheetId="6">#REF!</definedName>
    <definedName name="WS_ABB1_lm_rate" localSheetId="7">#REF!</definedName>
    <definedName name="WS_ABB1_lm_rate" localSheetId="8">#REF!</definedName>
    <definedName name="WS_ABB1_lm_rate">#REF!</definedName>
    <definedName name="WS_ABB1_lp_price" localSheetId="1">#REF!</definedName>
    <definedName name="WS_ABB1_lp_price" localSheetId="2">#REF!</definedName>
    <definedName name="WS_ABB1_lp_price" localSheetId="3">#REF!</definedName>
    <definedName name="WS_ABB1_lp_price" localSheetId="4">#REF!</definedName>
    <definedName name="WS_ABB1_lp_price" localSheetId="5">#REF!</definedName>
    <definedName name="WS_ABB1_lp_price" localSheetId="6">#REF!</definedName>
    <definedName name="WS_ABB1_lp_price" localSheetId="7">#REF!</definedName>
    <definedName name="WS_ABB1_lp_price" localSheetId="8">#REF!</definedName>
    <definedName name="WS_ABB1_lp_price">#REF!</definedName>
    <definedName name="WS_ABB1_lp_rate" localSheetId="1">#REF!</definedName>
    <definedName name="WS_ABB1_lp_rate" localSheetId="2">#REF!</definedName>
    <definedName name="WS_ABB1_lp_rate" localSheetId="3">#REF!</definedName>
    <definedName name="WS_ABB1_lp_rate" localSheetId="4">#REF!</definedName>
    <definedName name="WS_ABB1_lp_rate" localSheetId="5">#REF!</definedName>
    <definedName name="WS_ABB1_lp_rate" localSheetId="6">#REF!</definedName>
    <definedName name="WS_ABB1_lp_rate" localSheetId="7">#REF!</definedName>
    <definedName name="WS_ABB1_lp_rate" localSheetId="8">#REF!</definedName>
    <definedName name="WS_ABB1_lp_rate">#REF!</definedName>
    <definedName name="www" localSheetId="1"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localSheetId="2"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localSheetId="3"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localSheetId="4"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localSheetId="5"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localSheetId="6"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localSheetId="7"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localSheetId="8"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Year" localSheetId="1">'[1]Source Data'!$B$21:$B$44</definedName>
    <definedName name="Year" localSheetId="2">'[1]Source Data'!$B$21:$B$44</definedName>
    <definedName name="Year" localSheetId="7">'[2]Source Data'!$B$21:$B$44</definedName>
    <definedName name="Year">'[3]Source Data'!$B$21:$B$44</definedName>
    <definedName name="Z_005F0399_B55C_4748_ACAC_5019F1CD5032_.wvu.FilterData" localSheetId="8" hidden="1">'SAH-9 (Public)'!$A$6:$J$6</definedName>
    <definedName name="Z_01563A5C_6B8C_403D_8C7D_49B7CA70463A_.wvu.FilterData" localSheetId="8" hidden="1">'SAH-9 (Public)'!$A$6:$J$6</definedName>
    <definedName name="Z_01563A5C_6B8C_403D_8C7D_49B7CA70463A_.wvu.PrintArea" localSheetId="8" hidden="1">'SAH-9 (Public)'!$A$1:$J$6</definedName>
    <definedName name="Z_01563A5C_6B8C_403D_8C7D_49B7CA70463A_.wvu.PrintTitles" localSheetId="8" hidden="1">'SAH-9 (Public)'!$6:$6</definedName>
    <definedName name="Z_02756A0B_FEE1_4B50_A8D8_752FE787F51F_.wvu.FilterData" localSheetId="3" hidden="1">'SAH-4 (Public)'!$A$6:$J$6</definedName>
    <definedName name="Z_056D250E_C076_4340_9CC2_9F7F804014B3_.wvu.Cols" localSheetId="3" hidden="1">'SAH-4 (Public)'!#REF!,'SAH-4 (Public)'!#REF!,'SAH-4 (Public)'!#REF!</definedName>
    <definedName name="Z_056D250E_C076_4340_9CC2_9F7F804014B3_.wvu.Cols" localSheetId="4" hidden="1">'SAH-5 (Public)'!#REF!,'SAH-5 (Public)'!#REF!,'SAH-5 (Public)'!#REF!,'SAH-5 (Public)'!#REF!</definedName>
    <definedName name="Z_056D250E_C076_4340_9CC2_9F7F804014B3_.wvu.Cols" localSheetId="5" hidden="1">'SAH-6 (Public)'!#REF!,'SAH-6 (Public)'!#REF!,'SAH-6 (Public)'!#REF!</definedName>
    <definedName name="Z_056D250E_C076_4340_9CC2_9F7F804014B3_.wvu.Cols" localSheetId="6" hidden="1">'SAH-7 (Public)'!#REF!,'SAH-7 (Public)'!#REF!,'SAH-7 (Public)'!#REF!,'SAH-7 (Public)'!#REF!</definedName>
    <definedName name="Z_056D250E_C076_4340_9CC2_9F7F804014B3_.wvu.Cols" localSheetId="8" hidden="1">'SAH-9 (Public)'!#REF!,'SAH-9 (Public)'!#REF!</definedName>
    <definedName name="Z_056D250E_C076_4340_9CC2_9F7F804014B3_.wvu.FilterData" localSheetId="3" hidden="1">'SAH-4 (Public)'!$A$6:$J$6</definedName>
    <definedName name="Z_056D250E_C076_4340_9CC2_9F7F804014B3_.wvu.FilterData" localSheetId="4" hidden="1">'SAH-5 (Public)'!$A$6:$J$6</definedName>
    <definedName name="Z_056D250E_C076_4340_9CC2_9F7F804014B3_.wvu.FilterData" localSheetId="5" hidden="1">'SAH-6 (Public)'!$A$6:$J$6</definedName>
    <definedName name="Z_056D250E_C076_4340_9CC2_9F7F804014B3_.wvu.FilterData" localSheetId="6" hidden="1">'SAH-7 (Public)'!$A$6:$J$6</definedName>
    <definedName name="Z_056D250E_C076_4340_9CC2_9F7F804014B3_.wvu.FilterData" localSheetId="8" hidden="1">'SAH-9 (Public)'!$A$6:$J$6</definedName>
    <definedName name="Z_056D250E_C076_4340_9CC2_9F7F804014B3_.wvu.PrintArea" localSheetId="3" hidden="1">'SAH-4 (Public)'!$A$1:$J$6</definedName>
    <definedName name="Z_056D250E_C076_4340_9CC2_9F7F804014B3_.wvu.PrintArea" localSheetId="4" hidden="1">'SAH-5 (Public)'!$A$1:$J$6</definedName>
    <definedName name="Z_056D250E_C076_4340_9CC2_9F7F804014B3_.wvu.PrintArea" localSheetId="5" hidden="1">'SAH-6 (Public)'!$A$1:$J$6</definedName>
    <definedName name="Z_056D250E_C076_4340_9CC2_9F7F804014B3_.wvu.PrintArea" localSheetId="6" hidden="1">'SAH-7 (Public)'!$A$1:$J$6</definedName>
    <definedName name="Z_056D250E_C076_4340_9CC2_9F7F804014B3_.wvu.PrintArea" localSheetId="8" hidden="1">'SAH-9 (Public)'!$A$1:$J$6</definedName>
    <definedName name="Z_056D250E_C076_4340_9CC2_9F7F804014B3_.wvu.PrintTitles" localSheetId="3" hidden="1">'SAH-4 (Public)'!$6:$6</definedName>
    <definedName name="Z_056D250E_C076_4340_9CC2_9F7F804014B3_.wvu.PrintTitles" localSheetId="4" hidden="1">'SAH-5 (Public)'!$6:$6</definedName>
    <definedName name="Z_056D250E_C076_4340_9CC2_9F7F804014B3_.wvu.PrintTitles" localSheetId="5" hidden="1">'SAH-6 (Public)'!$6:$6</definedName>
    <definedName name="Z_056D250E_C076_4340_9CC2_9F7F804014B3_.wvu.PrintTitles" localSheetId="8" hidden="1">'SAH-9 (Public)'!$6:$6</definedName>
    <definedName name="Z_056D250E_C076_4340_9CC2_9F7F804014B3_.wvu.Rows" localSheetId="3" hidden="1">'SAH-4 (Public)'!#REF!</definedName>
    <definedName name="Z_056D250E_C076_4340_9CC2_9F7F804014B3_.wvu.Rows" localSheetId="4" hidden="1">'SAH-5 (Public)'!#REF!</definedName>
    <definedName name="Z_056D250E_C076_4340_9CC2_9F7F804014B3_.wvu.Rows" localSheetId="5" hidden="1">'SAH-6 (Public)'!#REF!</definedName>
    <definedName name="Z_056D250E_C076_4340_9CC2_9F7F804014B3_.wvu.Rows" localSheetId="6" hidden="1">'SAH-7 (Public)'!#REF!</definedName>
    <definedName name="Z_056D250E_C076_4340_9CC2_9F7F804014B3_.wvu.Rows" localSheetId="8" hidden="1">'SAH-9 (Public)'!#REF!</definedName>
    <definedName name="Z_05E6DD07_CF59_4A92_95B6_81094C9F58C6_.wvu.FilterData" localSheetId="8" hidden="1">'SAH-9 (Public)'!$A$6:$J$6</definedName>
    <definedName name="Z_05E6DD07_CF59_4A92_95B6_81094C9F58C6_.wvu.PrintArea" localSheetId="8" hidden="1">'SAH-9 (Public)'!$A$1:$J$6</definedName>
    <definedName name="Z_05E6DD07_CF59_4A92_95B6_81094C9F58C6_.wvu.PrintTitles" localSheetId="8" hidden="1">'SAH-9 (Public)'!$6:$6</definedName>
    <definedName name="Z_0724244F_9E32_43BA_8DBB_4C7288D31C4F_.wvu.FilterData" localSheetId="3" hidden="1">'SAH-4 (Public)'!$A$6:$J$6</definedName>
    <definedName name="Z_0724244F_9E32_43BA_8DBB_4C7288D31C4F_.wvu.FilterData" localSheetId="4" hidden="1">'SAH-5 (Public)'!$A$6:$J$6</definedName>
    <definedName name="Z_0724244F_9E32_43BA_8DBB_4C7288D31C4F_.wvu.FilterData" localSheetId="5" hidden="1">'SAH-6 (Public)'!$A$6:$J$6</definedName>
    <definedName name="Z_0724244F_9E32_43BA_8DBB_4C7288D31C4F_.wvu.FilterData" localSheetId="6" hidden="1">'SAH-7 (Public)'!$A$6:$J$6</definedName>
    <definedName name="Z_0724244F_9E32_43BA_8DBB_4C7288D31C4F_.wvu.FilterData" localSheetId="8" hidden="1">'SAH-9 (Public)'!$A$6:$J$6</definedName>
    <definedName name="Z_0724244F_9E32_43BA_8DBB_4C7288D31C4F_.wvu.PrintArea" localSheetId="3" hidden="1">'SAH-4 (Public)'!$A$1:$J$6</definedName>
    <definedName name="Z_0724244F_9E32_43BA_8DBB_4C7288D31C4F_.wvu.PrintArea" localSheetId="4" hidden="1">'SAH-5 (Public)'!$A$1:$J$6</definedName>
    <definedName name="Z_0724244F_9E32_43BA_8DBB_4C7288D31C4F_.wvu.PrintArea" localSheetId="5" hidden="1">'SAH-6 (Public)'!$A$1:$J$6</definedName>
    <definedName name="Z_0724244F_9E32_43BA_8DBB_4C7288D31C4F_.wvu.PrintArea" localSheetId="6" hidden="1">'SAH-7 (Public)'!$A$1:$J$6</definedName>
    <definedName name="Z_0724244F_9E32_43BA_8DBB_4C7288D31C4F_.wvu.PrintTitles" localSheetId="3" hidden="1">'SAH-4 (Public)'!$6:$6</definedName>
    <definedName name="Z_0724244F_9E32_43BA_8DBB_4C7288D31C4F_.wvu.PrintTitles" localSheetId="4" hidden="1">'SAH-5 (Public)'!$6:$6</definedName>
    <definedName name="Z_0724244F_9E32_43BA_8DBB_4C7288D31C4F_.wvu.PrintTitles" localSheetId="5" hidden="1">'SAH-6 (Public)'!$6:$6</definedName>
    <definedName name="Z_0724244F_9E32_43BA_8DBB_4C7288D31C4F_.wvu.PrintTitles" localSheetId="8" hidden="1">'SAH-9 (Public)'!$6:$6</definedName>
    <definedName name="Z_0734A004_9F67_49A7_8AA2_A50B3417978F_.wvu.FilterData" localSheetId="4" hidden="1">'SAH-5 (Public)'!$A$6:$J$6</definedName>
    <definedName name="Z_0734A004_9F67_49A7_8AA2_A50B3417978F_.wvu.FilterData" localSheetId="6" hidden="1">'SAH-7 (Public)'!$A$6:$J$6</definedName>
    <definedName name="Z_08237A70_6717_4878_856D_1ED42461076D_.wvu.FilterData" localSheetId="3" hidden="1">'SAH-4 (Public)'!$A$6:$N$6</definedName>
    <definedName name="Z_08237A70_6717_4878_856D_1ED42461076D_.wvu.FilterData" localSheetId="4" hidden="1">'SAH-5 (Public)'!$A$6:$J$6</definedName>
    <definedName name="Z_08237A70_6717_4878_856D_1ED42461076D_.wvu.FilterData" localSheetId="5" hidden="1">'SAH-6 (Public)'!$A$6:$J$6</definedName>
    <definedName name="Z_08237A70_6717_4878_856D_1ED42461076D_.wvu.FilterData" localSheetId="6" hidden="1">'SAH-7 (Public)'!$A$6:$J$6</definedName>
    <definedName name="Z_08237A70_6717_4878_856D_1ED42461076D_.wvu.FilterData" localSheetId="8" hidden="1">'SAH-9 (Public)'!$A$6:$CI$6</definedName>
    <definedName name="Z_08237A70_6717_4878_856D_1ED42461076D_.wvu.PrintArea" localSheetId="4" hidden="1">'SAH-5 (Public)'!$A$1:$J$6</definedName>
    <definedName name="Z_08237A70_6717_4878_856D_1ED42461076D_.wvu.PrintArea" localSheetId="5" hidden="1">'SAH-6 (Public)'!$A$1:$J$6</definedName>
    <definedName name="Z_08237A70_6717_4878_856D_1ED42461076D_.wvu.PrintArea" localSheetId="8" hidden="1">'SAH-9 (Public)'!$A$1:$J$6</definedName>
    <definedName name="Z_08237A70_6717_4878_856D_1ED42461076D_.wvu.PrintTitles" localSheetId="3" hidden="1">'SAH-4 (Public)'!$1:$6</definedName>
    <definedName name="Z_08237A70_6717_4878_856D_1ED42461076D_.wvu.PrintTitles" localSheetId="4" hidden="1">'SAH-5 (Public)'!$1:$6</definedName>
    <definedName name="Z_08237A70_6717_4878_856D_1ED42461076D_.wvu.PrintTitles" localSheetId="5" hidden="1">'SAH-6 (Public)'!$1:$6</definedName>
    <definedName name="Z_08237A70_6717_4878_856D_1ED42461076D_.wvu.PrintTitles" localSheetId="6" hidden="1">'SAH-7 (Public)'!$1:$6</definedName>
    <definedName name="Z_08237A70_6717_4878_856D_1ED42461076D_.wvu.PrintTitles" localSheetId="8" hidden="1">'SAH-9 (Public)'!$1:$6</definedName>
    <definedName name="Z_08248940_418E_4B1A_9FD7_74EB4754A77D_.wvu.Cols" localSheetId="5" hidden="1">'SAH-6 (Public)'!#REF!</definedName>
    <definedName name="Z_08248940_418E_4B1A_9FD7_74EB4754A77D_.wvu.FilterData" localSheetId="5" hidden="1">'SAH-6 (Public)'!$A$6:$J$6</definedName>
    <definedName name="Z_08248940_418E_4B1A_9FD7_74EB4754A77D_.wvu.PrintTitles" localSheetId="5" hidden="1">'SAH-6 (Public)'!$6:$6</definedName>
    <definedName name="Z_08DF1068_04FA_4F88_A935_ECFC152AA512_.wvu.Cols" localSheetId="3" hidden="1">'SAH-4 (Public)'!#REF!,'SAH-4 (Public)'!#REF!</definedName>
    <definedName name="Z_08DF1068_04FA_4F88_A935_ECFC152AA512_.wvu.Cols" localSheetId="4" hidden="1">'SAH-5 (Public)'!#REF!,'SAH-5 (Public)'!#REF!,'SAH-5 (Public)'!#REF!</definedName>
    <definedName name="Z_08DF1068_04FA_4F88_A935_ECFC152AA512_.wvu.Cols" localSheetId="5" hidden="1">'SAH-6 (Public)'!#REF!,'SAH-6 (Public)'!#REF!</definedName>
    <definedName name="Z_08DF1068_04FA_4F88_A935_ECFC152AA512_.wvu.Cols" localSheetId="6" hidden="1">'SAH-7 (Public)'!#REF!,'SAH-7 (Public)'!#REF!,'SAH-7 (Public)'!#REF!</definedName>
    <definedName name="Z_08DF1068_04FA_4F88_A935_ECFC152AA512_.wvu.Cols" localSheetId="8" hidden="1">'SAH-9 (Public)'!#REF!</definedName>
    <definedName name="Z_08DF1068_04FA_4F88_A935_ECFC152AA512_.wvu.FilterData" localSheetId="3" hidden="1">'SAH-4 (Public)'!$A$6:$J$6</definedName>
    <definedName name="Z_08DF1068_04FA_4F88_A935_ECFC152AA512_.wvu.FilterData" localSheetId="4" hidden="1">'SAH-5 (Public)'!$A$6:$J$6</definedName>
    <definedName name="Z_08DF1068_04FA_4F88_A935_ECFC152AA512_.wvu.FilterData" localSheetId="5" hidden="1">'SAH-6 (Public)'!$A$6:$J$6</definedName>
    <definedName name="Z_08DF1068_04FA_4F88_A935_ECFC152AA512_.wvu.FilterData" localSheetId="6" hidden="1">'SAH-7 (Public)'!$A$6:$J$6</definedName>
    <definedName name="Z_08DF1068_04FA_4F88_A935_ECFC152AA512_.wvu.FilterData" localSheetId="8" hidden="1">'SAH-9 (Public)'!$A$6:$J$6</definedName>
    <definedName name="Z_08DF1068_04FA_4F88_A935_ECFC152AA512_.wvu.PrintArea" localSheetId="3" hidden="1">'SAH-4 (Public)'!$A$1:$J$6</definedName>
    <definedName name="Z_08DF1068_04FA_4F88_A935_ECFC152AA512_.wvu.PrintArea" localSheetId="4" hidden="1">'SAH-5 (Public)'!$A$1:$J$6</definedName>
    <definedName name="Z_08DF1068_04FA_4F88_A935_ECFC152AA512_.wvu.PrintArea" localSheetId="5" hidden="1">'SAH-6 (Public)'!$A$1:$J$6</definedName>
    <definedName name="Z_08DF1068_04FA_4F88_A935_ECFC152AA512_.wvu.PrintArea" localSheetId="6" hidden="1">'SAH-7 (Public)'!$A$1:$J$6</definedName>
    <definedName name="Z_08DF1068_04FA_4F88_A935_ECFC152AA512_.wvu.PrintArea" localSheetId="8" hidden="1">'SAH-9 (Public)'!$A$1:$J$6</definedName>
    <definedName name="Z_08DF1068_04FA_4F88_A935_ECFC152AA512_.wvu.PrintTitles" localSheetId="3" hidden="1">'SAH-4 (Public)'!$6:$6</definedName>
    <definedName name="Z_08DF1068_04FA_4F88_A935_ECFC152AA512_.wvu.PrintTitles" localSheetId="4" hidden="1">'SAH-5 (Public)'!$6:$6</definedName>
    <definedName name="Z_08DF1068_04FA_4F88_A935_ECFC152AA512_.wvu.PrintTitles" localSheetId="5" hidden="1">'SAH-6 (Public)'!$6:$6</definedName>
    <definedName name="Z_08DF1068_04FA_4F88_A935_ECFC152AA512_.wvu.PrintTitles" localSheetId="8" hidden="1">'SAH-9 (Public)'!$6:$6</definedName>
    <definedName name="Z_092817CA_56AB_4004_8663_37DFD515CA2F_.wvu.FilterData" localSheetId="6" hidden="1">'SAH-7 (Public)'!$A$6:$J$6</definedName>
    <definedName name="Z_09FAA496_6338_4406_AD3B_7C9DFA6D464F_.wvu.Cols" localSheetId="4" hidden="1">'SAH-5 (Public)'!#REF!</definedName>
    <definedName name="Z_09FAA496_6338_4406_AD3B_7C9DFA6D464F_.wvu.Cols" localSheetId="5" hidden="1">'SAH-6 (Public)'!#REF!</definedName>
    <definedName name="Z_09FAA496_6338_4406_AD3B_7C9DFA6D464F_.wvu.FilterData" localSheetId="3" hidden="1">'SAH-4 (Public)'!$A$6:$N$6</definedName>
    <definedName name="Z_09FAA496_6338_4406_AD3B_7C9DFA6D464F_.wvu.FilterData" localSheetId="4" hidden="1">'SAH-5 (Public)'!$A$6:$J$6</definedName>
    <definedName name="Z_09FAA496_6338_4406_AD3B_7C9DFA6D464F_.wvu.FilterData" localSheetId="5" hidden="1">'SAH-6 (Public)'!$A$6:$J$6</definedName>
    <definedName name="Z_09FAA496_6338_4406_AD3B_7C9DFA6D464F_.wvu.FilterData" localSheetId="6" hidden="1">'SAH-7 (Public)'!$A$6:$J$6</definedName>
    <definedName name="Z_09FAA496_6338_4406_AD3B_7C9DFA6D464F_.wvu.FilterData" localSheetId="8" hidden="1">'SAH-9 (Public)'!$A$6:$M$6</definedName>
    <definedName name="Z_09FAA496_6338_4406_AD3B_7C9DFA6D464F_.wvu.PrintTitles" localSheetId="3" hidden="1">'SAH-4 (Public)'!$6:$6</definedName>
    <definedName name="Z_09FAA496_6338_4406_AD3B_7C9DFA6D464F_.wvu.PrintTitles" localSheetId="4" hidden="1">'SAH-5 (Public)'!$6:$6</definedName>
    <definedName name="Z_09FAA496_6338_4406_AD3B_7C9DFA6D464F_.wvu.PrintTitles" localSheetId="5" hidden="1">'SAH-6 (Public)'!$6:$6</definedName>
    <definedName name="Z_09FAA496_6338_4406_AD3B_7C9DFA6D464F_.wvu.PrintTitles" localSheetId="6" hidden="1">'SAH-7 (Public)'!$6:$6</definedName>
    <definedName name="Z_09FAA496_6338_4406_AD3B_7C9DFA6D464F_.wvu.PrintTitles" localSheetId="8" hidden="1">'SAH-9 (Public)'!$6:$6</definedName>
    <definedName name="Z_0B4A96BA_0AEC_43AE_81E2_5CE3B84AA064_.wvu.FilterData" localSheetId="8" hidden="1">'SAH-9 (Public)'!$A$6:$J$6</definedName>
    <definedName name="Z_0B4B21FC_4582_4997_A850_965444BC7762_.wvu.FilterData" localSheetId="3" hidden="1">'SAH-4 (Public)'!$A$6:$J$6</definedName>
    <definedName name="Z_0B4B21FC_4582_4997_A850_965444BC7762_.wvu.FilterData" localSheetId="5" hidden="1">'SAH-6 (Public)'!$A$6:$J$6</definedName>
    <definedName name="Z_0B5B3C18_9BA7_44A9_80A6_B4D5787BABD6_.wvu.Cols" localSheetId="5" hidden="1">'SAH-6 (Public)'!#REF!</definedName>
    <definedName name="Z_0B5B3C18_9BA7_44A9_80A6_B4D5787BABD6_.wvu.FilterData" localSheetId="3" hidden="1">'SAH-4 (Public)'!$A$6:$J$6</definedName>
    <definedName name="Z_0B5B3C18_9BA7_44A9_80A6_B4D5787BABD6_.wvu.FilterData" localSheetId="4" hidden="1">'SAH-5 (Public)'!$A$6:$J$6</definedName>
    <definedName name="Z_0B5B3C18_9BA7_44A9_80A6_B4D5787BABD6_.wvu.FilterData" localSheetId="5" hidden="1">'SAH-6 (Public)'!$A$6:$J$6</definedName>
    <definedName name="Z_0B5B3C18_9BA7_44A9_80A6_B4D5787BABD6_.wvu.FilterData" localSheetId="8" hidden="1">'SAH-9 (Public)'!$A$6:$J$6</definedName>
    <definedName name="Z_0B5B3C18_9BA7_44A9_80A6_B4D5787BABD6_.wvu.PrintArea" localSheetId="3" hidden="1">'SAH-4 (Public)'!$A$1:$J$6</definedName>
    <definedName name="Z_0B5B3C18_9BA7_44A9_80A6_B4D5787BABD6_.wvu.PrintArea" localSheetId="4" hidden="1">'SAH-5 (Public)'!$A$1:$J$6</definedName>
    <definedName name="Z_0B5B3C18_9BA7_44A9_80A6_B4D5787BABD6_.wvu.PrintArea" localSheetId="5" hidden="1">'SAH-6 (Public)'!$A$1:$J$6</definedName>
    <definedName name="Z_0B5B3C18_9BA7_44A9_80A6_B4D5787BABD6_.wvu.PrintArea" localSheetId="8" hidden="1">'SAH-9 (Public)'!$A$1:$J$6</definedName>
    <definedName name="Z_0B5B3C18_9BA7_44A9_80A6_B4D5787BABD6_.wvu.PrintTitles" localSheetId="3" hidden="1">'SAH-4 (Public)'!$6:$6</definedName>
    <definedName name="Z_0B5B3C18_9BA7_44A9_80A6_B4D5787BABD6_.wvu.PrintTitles" localSheetId="4" hidden="1">'SAH-5 (Public)'!$6:$6</definedName>
    <definedName name="Z_0B5B3C18_9BA7_44A9_80A6_B4D5787BABD6_.wvu.PrintTitles" localSheetId="5" hidden="1">'SAH-6 (Public)'!$6:$6</definedName>
    <definedName name="Z_0B5B3C18_9BA7_44A9_80A6_B4D5787BABD6_.wvu.PrintTitles" localSheetId="8" hidden="1">'SAH-9 (Public)'!$6:$6</definedName>
    <definedName name="Z_0B5E6762_C2D0_42C9_86F9_134E34EB23A4_.wvu.FilterData" localSheetId="3" hidden="1">'SAH-4 (Public)'!$A$6:$N$6</definedName>
    <definedName name="Z_0FDB9BD4_0714_4C64_BA3B_89B4FFA0562F_.wvu.FilterData" localSheetId="3" hidden="1">'SAH-4 (Public)'!$A$6:$N$6</definedName>
    <definedName name="Z_0FDB9BD4_0714_4C64_BA3B_89B4FFA0562F_.wvu.FilterData" localSheetId="4" hidden="1">'SAH-5 (Public)'!$A$6:$J$6</definedName>
    <definedName name="Z_0FDB9BD4_0714_4C64_BA3B_89B4FFA0562F_.wvu.FilterData" localSheetId="5" hidden="1">'SAH-6 (Public)'!$A$6:$J$6</definedName>
    <definedName name="Z_0FDB9BD4_0714_4C64_BA3B_89B4FFA0562F_.wvu.FilterData" localSheetId="8" hidden="1">'SAH-9 (Public)'!$A$6:$M$6</definedName>
    <definedName name="Z_0FDB9BD4_0714_4C64_BA3B_89B4FFA0562F_.wvu.PrintTitles" localSheetId="3" hidden="1">'SAH-4 (Public)'!$6:$6</definedName>
    <definedName name="Z_0FDB9BD4_0714_4C64_BA3B_89B4FFA0562F_.wvu.PrintTitles" localSheetId="4" hidden="1">'SAH-5 (Public)'!$6:$6</definedName>
    <definedName name="Z_0FDB9BD4_0714_4C64_BA3B_89B4FFA0562F_.wvu.PrintTitles" localSheetId="5" hidden="1">'SAH-6 (Public)'!$6:$6</definedName>
    <definedName name="Z_0FDB9BD4_0714_4C64_BA3B_89B4FFA0562F_.wvu.PrintTitles" localSheetId="8" hidden="1">'SAH-9 (Public)'!$6:$6</definedName>
    <definedName name="Z_1064961A_EEEB_40A0_8CCF_F4238DEC32DB_.wvu.FilterData" localSheetId="8" hidden="1">'SAH-9 (Public)'!$A$6:$J$6</definedName>
    <definedName name="Z_11477079_2342_4FEF_96F5_5D69180C7BF8_.wvu.Cols" localSheetId="3" hidden="1">'SAH-4 (Public)'!#REF!,'SAH-4 (Public)'!#REF!,'SAH-4 (Public)'!#REF!,'SAH-4 (Public)'!#REF!,'SAH-4 (Public)'!#REF!,'SAH-4 (Public)'!#REF!,'SAH-4 (Public)'!#REF!</definedName>
    <definedName name="Z_11477079_2342_4FEF_96F5_5D69180C7BF8_.wvu.Cols" localSheetId="4" hidden="1">'SAH-5 (Public)'!#REF!,'SAH-5 (Public)'!#REF!,'SAH-5 (Public)'!#REF!,'SAH-5 (Public)'!#REF!</definedName>
    <definedName name="Z_11477079_2342_4FEF_96F5_5D69180C7BF8_.wvu.Cols" localSheetId="5" hidden="1">'SAH-6 (Public)'!#REF!,'SAH-6 (Public)'!#REF!,'SAH-6 (Public)'!#REF!,'SAH-6 (Public)'!#REF!,'SAH-6 (Public)'!#REF!,'SAH-6 (Public)'!#REF!,'SAH-6 (Public)'!#REF!</definedName>
    <definedName name="Z_11477079_2342_4FEF_96F5_5D69180C7BF8_.wvu.Cols" localSheetId="6" hidden="1">'SAH-7 (Public)'!#REF!,'SAH-7 (Public)'!#REF!</definedName>
    <definedName name="Z_11477079_2342_4FEF_96F5_5D69180C7BF8_.wvu.Cols" localSheetId="8" hidden="1">'SAH-9 (Public)'!#REF!,'SAH-9 (Public)'!#REF!,'SAH-9 (Public)'!#REF!,'SAH-9 (Public)'!#REF!,'SAH-9 (Public)'!#REF!,'SAH-9 (Public)'!#REF!</definedName>
    <definedName name="Z_11477079_2342_4FEF_96F5_5D69180C7BF8_.wvu.FilterData" localSheetId="3" hidden="1">'SAH-4 (Public)'!$A$6:$N$6</definedName>
    <definedName name="Z_11477079_2342_4FEF_96F5_5D69180C7BF8_.wvu.FilterData" localSheetId="4" hidden="1">'SAH-5 (Public)'!$A$6:$J$6</definedName>
    <definedName name="Z_11477079_2342_4FEF_96F5_5D69180C7BF8_.wvu.FilterData" localSheetId="5" hidden="1">'SAH-6 (Public)'!$A$6:$J$6</definedName>
    <definedName name="Z_11477079_2342_4FEF_96F5_5D69180C7BF8_.wvu.FilterData" localSheetId="6" hidden="1">'SAH-7 (Public)'!$A$6:$J$6</definedName>
    <definedName name="Z_11477079_2342_4FEF_96F5_5D69180C7BF8_.wvu.FilterData" localSheetId="8" hidden="1">'SAH-9 (Public)'!$A$6:$M$6</definedName>
    <definedName name="Z_11477079_2342_4FEF_96F5_5D69180C7BF8_.wvu.PrintTitles" localSheetId="3" hidden="1">'SAH-4 (Public)'!$6:$6</definedName>
    <definedName name="Z_11477079_2342_4FEF_96F5_5D69180C7BF8_.wvu.PrintTitles" localSheetId="4" hidden="1">'SAH-5 (Public)'!$6:$6</definedName>
    <definedName name="Z_11477079_2342_4FEF_96F5_5D69180C7BF8_.wvu.PrintTitles" localSheetId="5" hidden="1">'SAH-6 (Public)'!$6:$6</definedName>
    <definedName name="Z_11477079_2342_4FEF_96F5_5D69180C7BF8_.wvu.PrintTitles" localSheetId="6" hidden="1">'SAH-7 (Public)'!$6:$6</definedName>
    <definedName name="Z_11477079_2342_4FEF_96F5_5D69180C7BF8_.wvu.PrintTitles" localSheetId="8" hidden="1">'SAH-9 (Public)'!$6:$6</definedName>
    <definedName name="Z_127521F6_A4E0_4B6D_B1ED_7082332AF23B_.wvu.FilterData" localSheetId="8" hidden="1">'SAH-9 (Public)'!$A$6:$J$6</definedName>
    <definedName name="Z_127521F6_A4E0_4B6D_B1ED_7082332AF23B_.wvu.PrintArea" localSheetId="8" hidden="1">'SAH-9 (Public)'!$A$1:$J$6</definedName>
    <definedName name="Z_127521F6_A4E0_4B6D_B1ED_7082332AF23B_.wvu.PrintTitles" localSheetId="8" hidden="1">'SAH-9 (Public)'!$6:$6</definedName>
    <definedName name="Z_136032F1_99F4_4FBA_98C2_2EB10816AC41_.wvu.FilterData" localSheetId="3" hidden="1">'SAH-4 (Public)'!$A$6:$N$6</definedName>
    <definedName name="Z_13C2C60D_013E_45E8_ABED_15BD50E510F2_.wvu.FilterData" localSheetId="8" hidden="1">'SAH-9 (Public)'!$A$6:$J$6</definedName>
    <definedName name="Z_13C2C60D_013E_45E8_ABED_15BD50E510F2_.wvu.PrintArea" localSheetId="8" hidden="1">'SAH-9 (Public)'!$A$1:$J$6</definedName>
    <definedName name="Z_13C2C60D_013E_45E8_ABED_15BD50E510F2_.wvu.PrintTitles" localSheetId="8" hidden="1">'SAH-9 (Public)'!$6:$6</definedName>
    <definedName name="Z_173DEA15_A358_49C0_B677_077A73B2E984_.wvu.FilterData" localSheetId="8" hidden="1">'SAH-9 (Public)'!$A$6:$J$6</definedName>
    <definedName name="Z_177B407B_5703_4E44_A1DE_BEFF5346E863_.wvu.FilterData" localSheetId="3" hidden="1">'SAH-4 (Public)'!$A$6:$J$6</definedName>
    <definedName name="Z_17835A96_0655_4CED_B3A3_E83F57863DBF_.wvu.FilterData" localSheetId="3" hidden="1">'SAH-4 (Public)'!$A$6:$J$6</definedName>
    <definedName name="Z_18260405_0ED0_45AC_9FB2_D47F2C5485C9_.wvu.FilterData" localSheetId="4" hidden="1">'SAH-5 (Public)'!$A$6:$J$6</definedName>
    <definedName name="Z_18879F37_6516_4E08_89FE_4A1D54D3AE7D_.wvu.FilterData" localSheetId="6" hidden="1">'SAH-7 (Public)'!$A$6:$J$6</definedName>
    <definedName name="Z_18E57FF2_E429_4CEE_BC5D_42E38CDD97BE_.wvu.Cols" localSheetId="4" hidden="1">'SAH-5 (Public)'!#REF!</definedName>
    <definedName name="Z_18E57FF2_E429_4CEE_BC5D_42E38CDD97BE_.wvu.Cols" localSheetId="5" hidden="1">'SAH-6 (Public)'!#REF!</definedName>
    <definedName name="Z_18E57FF2_E429_4CEE_BC5D_42E38CDD97BE_.wvu.FilterData" localSheetId="3" hidden="1">'SAH-4 (Public)'!$A$6:$N$6</definedName>
    <definedName name="Z_18E57FF2_E429_4CEE_BC5D_42E38CDD97BE_.wvu.FilterData" localSheetId="4" hidden="1">'SAH-5 (Public)'!$A$6:$J$6</definedName>
    <definedName name="Z_18E57FF2_E429_4CEE_BC5D_42E38CDD97BE_.wvu.FilterData" localSheetId="5" hidden="1">'SAH-6 (Public)'!$A$6:$J$6</definedName>
    <definedName name="Z_18E57FF2_E429_4CEE_BC5D_42E38CDD97BE_.wvu.FilterData" localSheetId="6" hidden="1">'SAH-7 (Public)'!$A$6:$J$6</definedName>
    <definedName name="Z_18E57FF2_E429_4CEE_BC5D_42E38CDD97BE_.wvu.FilterData" localSheetId="8" hidden="1">'SAH-9 (Public)'!$A$6:$M$6</definedName>
    <definedName name="Z_18E57FF2_E429_4CEE_BC5D_42E38CDD97BE_.wvu.PrintTitles" localSheetId="3" hidden="1">'SAH-4 (Public)'!$6:$6</definedName>
    <definedName name="Z_18E57FF2_E429_4CEE_BC5D_42E38CDD97BE_.wvu.PrintTitles" localSheetId="4" hidden="1">'SAH-5 (Public)'!$6:$6</definedName>
    <definedName name="Z_18E57FF2_E429_4CEE_BC5D_42E38CDD97BE_.wvu.PrintTitles" localSheetId="5" hidden="1">'SAH-6 (Public)'!$6:$6</definedName>
    <definedName name="Z_18E57FF2_E429_4CEE_BC5D_42E38CDD97BE_.wvu.PrintTitles" localSheetId="6" hidden="1">'SAH-7 (Public)'!$6:$6</definedName>
    <definedName name="Z_18E57FF2_E429_4CEE_BC5D_42E38CDD97BE_.wvu.PrintTitles" localSheetId="8" hidden="1">'SAH-9 (Public)'!$6:$6</definedName>
    <definedName name="Z_1980790E_CC43_4F35_A601_3A958941E603_.wvu.FilterData" localSheetId="8" hidden="1">'SAH-9 (Public)'!$A$6:$J$6</definedName>
    <definedName name="Z_1A032E9B_E6C4_468C_A057_0316BC537AFD_.wvu.FilterData" localSheetId="8" hidden="1">'SAH-9 (Public)'!$A$6:$G$6</definedName>
    <definedName name="Z_1A032E9B_E6C4_468C_A057_0316BC537AFD_.wvu.PrintArea" localSheetId="8" hidden="1">'SAH-9 (Public)'!$A$1:$G$6</definedName>
    <definedName name="Z_1A032E9B_E6C4_468C_A057_0316BC537AFD_.wvu.PrintTitles" localSheetId="8" hidden="1">'SAH-9 (Public)'!$6:$6</definedName>
    <definedName name="Z_1A9567A5_2131_4265_A4B6_4476F2E3F1A8_.wvu.FilterData" localSheetId="6" hidden="1">'SAH-7 (Public)'!$A$6:$J$6</definedName>
    <definedName name="Z_1B7A742B_288B_468E_BC39_7095885A08A6_.wvu.FilterData" localSheetId="3" hidden="1">'SAH-4 (Public)'!$A$6:$J$6</definedName>
    <definedName name="Z_1B7A742B_288B_468E_BC39_7095885A08A6_.wvu.PrintArea" localSheetId="3" hidden="1">'SAH-4 (Public)'!$A$1:$J$6</definedName>
    <definedName name="Z_1B7A742B_288B_468E_BC39_7095885A08A6_.wvu.PrintTitles" localSheetId="3" hidden="1">'SAH-4 (Public)'!$6:$6</definedName>
    <definedName name="Z_1C8628B3_002E_4D5C_AC32_296451B66999_.wvu.FilterData" localSheetId="8" hidden="1">'SAH-9 (Public)'!$A$6:$J$6</definedName>
    <definedName name="Z_1E633570_7820_4B4A_A00F_86A899E8A85C_.wvu.FilterData" localSheetId="3" hidden="1">'SAH-4 (Public)'!$A$6:$J$6</definedName>
    <definedName name="Z_2232C9CF_A9AF_4A99_A9FD_BB431FC40304_.wvu.FilterData" localSheetId="8" hidden="1">'SAH-9 (Public)'!$A$6:$G$6</definedName>
    <definedName name="Z_2232C9CF_A9AF_4A99_A9FD_BB431FC40304_.wvu.PrintArea" localSheetId="8" hidden="1">'SAH-9 (Public)'!$A$1:$G$6</definedName>
    <definedName name="Z_2232C9CF_A9AF_4A99_A9FD_BB431FC40304_.wvu.PrintTitles" localSheetId="8" hidden="1">'SAH-9 (Public)'!$6:$6</definedName>
    <definedName name="Z_2235C92F_DD1E_4ED1_9609_8BC4D468C69D_.wvu.FilterData" localSheetId="3" hidden="1">'SAH-4 (Public)'!$A$6:$J$6</definedName>
    <definedName name="Z_2235C92F_DD1E_4ED1_9609_8BC4D468C69D_.wvu.FilterData" localSheetId="4" hidden="1">'SAH-5 (Public)'!$A$6:$J$6</definedName>
    <definedName name="Z_2235C92F_DD1E_4ED1_9609_8BC4D468C69D_.wvu.FilterData" localSheetId="5" hidden="1">'SAH-6 (Public)'!$A$6:$J$6</definedName>
    <definedName name="Z_2235C92F_DD1E_4ED1_9609_8BC4D468C69D_.wvu.FilterData" localSheetId="6" hidden="1">'SAH-7 (Public)'!$A$6:$J$6</definedName>
    <definedName name="Z_2235C92F_DD1E_4ED1_9609_8BC4D468C69D_.wvu.FilterData" localSheetId="8" hidden="1">'SAH-9 (Public)'!$A$6:$J$6</definedName>
    <definedName name="Z_2235C92F_DD1E_4ED1_9609_8BC4D468C69D_.wvu.PrintArea" localSheetId="3" hidden="1">'SAH-4 (Public)'!$A$1:$J$6</definedName>
    <definedName name="Z_2235C92F_DD1E_4ED1_9609_8BC4D468C69D_.wvu.PrintArea" localSheetId="4" hidden="1">'SAH-5 (Public)'!$A$1:$J$6</definedName>
    <definedName name="Z_2235C92F_DD1E_4ED1_9609_8BC4D468C69D_.wvu.PrintArea" localSheetId="5" hidden="1">'SAH-6 (Public)'!$A$1:$J$6</definedName>
    <definedName name="Z_2235C92F_DD1E_4ED1_9609_8BC4D468C69D_.wvu.PrintArea" localSheetId="6" hidden="1">'SAH-7 (Public)'!$A$1:$J$6</definedName>
    <definedName name="Z_2235C92F_DD1E_4ED1_9609_8BC4D468C69D_.wvu.PrintArea" localSheetId="8" hidden="1">'SAH-9 (Public)'!$A$1:$J$6</definedName>
    <definedName name="Z_2235C92F_DD1E_4ED1_9609_8BC4D468C69D_.wvu.PrintTitles" localSheetId="3" hidden="1">'SAH-4 (Public)'!$6:$6</definedName>
    <definedName name="Z_2235C92F_DD1E_4ED1_9609_8BC4D468C69D_.wvu.PrintTitles" localSheetId="4" hidden="1">'SAH-5 (Public)'!$6:$6</definedName>
    <definedName name="Z_2235C92F_DD1E_4ED1_9609_8BC4D468C69D_.wvu.PrintTitles" localSheetId="5" hidden="1">'SAH-6 (Public)'!$6:$6</definedName>
    <definedName name="Z_2235C92F_DD1E_4ED1_9609_8BC4D468C69D_.wvu.PrintTitles" localSheetId="8" hidden="1">'SAH-9 (Public)'!$6:$6</definedName>
    <definedName name="Z_23DB9FE0_C1F8_4D57_A420_5B73E2C85B43_.wvu.FilterData" localSheetId="6" hidden="1">'SAH-7 (Public)'!$A$6:$J$6</definedName>
    <definedName name="Z_24EE9676_E187_4E6C_96B7_DD3B0FEE3460_.wvu.FilterData" localSheetId="8" hidden="1">'SAH-9 (Public)'!$A$6:$J$6</definedName>
    <definedName name="Z_26776F4F_F427_455E_824B_BE114224AF4F_.wvu.FilterData" localSheetId="3" hidden="1">'SAH-4 (Public)'!$A$6:$N$6</definedName>
    <definedName name="Z_26776F4F_F427_455E_824B_BE114224AF4F_.wvu.FilterData" localSheetId="4" hidden="1">'SAH-5 (Public)'!$A$6:$J$6</definedName>
    <definedName name="Z_26776F4F_F427_455E_824B_BE114224AF4F_.wvu.FilterData" localSheetId="5" hidden="1">'SAH-6 (Public)'!$A$6:$J$6</definedName>
    <definedName name="Z_26776F4F_F427_455E_824B_BE114224AF4F_.wvu.FilterData" localSheetId="8" hidden="1">'SAH-9 (Public)'!$A$6:$J$6</definedName>
    <definedName name="Z_2690AC5B_A54A_4399_9FE2_C576648ED848_.wvu.FilterData" localSheetId="4" hidden="1">'SAH-5 (Public)'!$A$6:$J$6</definedName>
    <definedName name="Z_2690AC5B_A54A_4399_9FE2_C576648ED848_.wvu.FilterData" localSheetId="5" hidden="1">'SAH-6 (Public)'!$A$6:$J$6</definedName>
    <definedName name="Z_2732E87F_E95F_4AA4_8C76_40FF11AB8DF2_.wvu.FilterData" localSheetId="4" hidden="1">'SAH-5 (Public)'!$A$6:$J$6</definedName>
    <definedName name="Z_279E8210_E660_4B6E_844C_E5346D1AC4BC_.wvu.FilterData" localSheetId="8" hidden="1">'SAH-9 (Public)'!$A$6:$J$6</definedName>
    <definedName name="Z_2813ECE8_391D_4CEF_90CF_866EC5C5064D_.wvu.FilterData" localSheetId="4" hidden="1">'SAH-5 (Public)'!$A$6:$J$6</definedName>
    <definedName name="Z_28F1AA3F_1024_4746_9A8C_8197431783B2_.wvu.FilterData" localSheetId="3" hidden="1">'SAH-4 (Public)'!$A$6:$N$6</definedName>
    <definedName name="Z_29FCE202_2E87_4139_8BD5_8EF3D2CA1CB8_.wvu.FilterData" localSheetId="4" hidden="1">'SAH-5 (Public)'!$A$6:$J$6</definedName>
    <definedName name="Z_2C03EF3E_585E_47F4_9BD6_3772E907CA9D_.wvu.FilterData" localSheetId="8" hidden="1">'SAH-9 (Public)'!$A$6:$J$6</definedName>
    <definedName name="Z_2C38AC3A_EEA0_4E29_973A_4EB575FEFBE3_.wvu.FilterData" localSheetId="8" hidden="1">'SAH-9 (Public)'!$A$6:$J$6</definedName>
    <definedName name="Z_2CC5E55C_2315_4F1E_A43E_1D9CE6917947_.wvu.FilterData" localSheetId="8" hidden="1">'SAH-9 (Public)'!$A$6:$J$6</definedName>
    <definedName name="Z_2EB7FB84_E409_4C2B_BDB5_FAAEA63F95CE_.wvu.FilterData" localSheetId="8" hidden="1">'SAH-9 (Public)'!$A$6:$J$6</definedName>
    <definedName name="Z_2EB7FB84_E409_4C2B_BDB5_FAAEA63F95CE_.wvu.PrintArea" localSheetId="8" hidden="1">'SAH-9 (Public)'!$A$1:$J$6</definedName>
    <definedName name="Z_2EB7FB84_E409_4C2B_BDB5_FAAEA63F95CE_.wvu.PrintTitles" localSheetId="8" hidden="1">'SAH-9 (Public)'!$6:$6</definedName>
    <definedName name="Z_31D7A05D_A11D_4D4C_B658_A829E0DAC46F_.wvu.Cols" localSheetId="3" hidden="1">'SAH-4 (Public)'!#REF!,'SAH-4 (Public)'!#REF!</definedName>
    <definedName name="Z_31D7A05D_A11D_4D4C_B658_A829E0DAC46F_.wvu.FilterData" localSheetId="3" hidden="1">'SAH-4 (Public)'!$A$6:$J$6</definedName>
    <definedName name="Z_31D7A05D_A11D_4D4C_B658_A829E0DAC46F_.wvu.PrintTitles" localSheetId="3" hidden="1">'SAH-4 (Public)'!$6:$6</definedName>
    <definedName name="Z_325406FD_0561_4495_B04B_D984FEE2879E_.wvu.FilterData" localSheetId="3" hidden="1">'SAH-4 (Public)'!$A$6:$N$6</definedName>
    <definedName name="Z_33398FA9_1A05_4846_A9B8_AD93FAAE6863_.wvu.FilterData" localSheetId="8" hidden="1">'SAH-9 (Public)'!$A$6:$G$6</definedName>
    <definedName name="Z_33398FA9_1A05_4846_A9B8_AD93FAAE6863_.wvu.PrintArea" localSheetId="8" hidden="1">'SAH-9 (Public)'!$A$1:$G$6</definedName>
    <definedName name="Z_33398FA9_1A05_4846_A9B8_AD93FAAE6863_.wvu.PrintTitles" localSheetId="8" hidden="1">'SAH-9 (Public)'!$1:$6</definedName>
    <definedName name="Z_34A40626_D559_4F55_BF73_C5208F7CD5A6_.wvu.Cols" localSheetId="3" hidden="1">'SAH-4 (Public)'!#REF!,'SAH-4 (Public)'!#REF!,'SAH-4 (Public)'!#REF!</definedName>
    <definedName name="Z_34A40626_D559_4F55_BF73_C5208F7CD5A6_.wvu.Cols" localSheetId="4" hidden="1">'SAH-5 (Public)'!#REF!,'SAH-5 (Public)'!#REF!,'SAH-5 (Public)'!#REF!,'SAH-5 (Public)'!#REF!</definedName>
    <definedName name="Z_34A40626_D559_4F55_BF73_C5208F7CD5A6_.wvu.Cols" localSheetId="5" hidden="1">'SAH-6 (Public)'!#REF!,'SAH-6 (Public)'!#REF!,'SAH-6 (Public)'!#REF!,'SAH-6 (Public)'!#REF!,'SAH-6 (Public)'!#REF!,'SAH-6 (Public)'!#REF!,'SAH-6 (Public)'!#REF!</definedName>
    <definedName name="Z_34A40626_D559_4F55_BF73_C5208F7CD5A6_.wvu.Cols" localSheetId="8" hidden="1">'SAH-9 (Public)'!#REF!,'SAH-9 (Public)'!#REF!,'SAH-9 (Public)'!#REF!,'SAH-9 (Public)'!#REF!,'SAH-9 (Public)'!#REF!,'SAH-9 (Public)'!#REF!</definedName>
    <definedName name="Z_34A40626_D559_4F55_BF73_C5208F7CD5A6_.wvu.FilterData" localSheetId="3" hidden="1">'SAH-4 (Public)'!$A$6:$N$6</definedName>
    <definedName name="Z_34A40626_D559_4F55_BF73_C5208F7CD5A6_.wvu.FilterData" localSheetId="4" hidden="1">'SAH-5 (Public)'!$A$6:$J$6</definedName>
    <definedName name="Z_34A40626_D559_4F55_BF73_C5208F7CD5A6_.wvu.FilterData" localSheetId="5" hidden="1">'SAH-6 (Public)'!$A$6:$J$6</definedName>
    <definedName name="Z_34A40626_D559_4F55_BF73_C5208F7CD5A6_.wvu.FilterData" localSheetId="8" hidden="1">'SAH-9 (Public)'!$A$6:$M$6</definedName>
    <definedName name="Z_34A40626_D559_4F55_BF73_C5208F7CD5A6_.wvu.PrintTitles" localSheetId="3" hidden="1">'SAH-4 (Public)'!$6:$6</definedName>
    <definedName name="Z_34A40626_D559_4F55_BF73_C5208F7CD5A6_.wvu.PrintTitles" localSheetId="4" hidden="1">'SAH-5 (Public)'!$6:$6</definedName>
    <definedName name="Z_34A40626_D559_4F55_BF73_C5208F7CD5A6_.wvu.PrintTitles" localSheetId="5" hidden="1">'SAH-6 (Public)'!$6:$6</definedName>
    <definedName name="Z_34A40626_D559_4F55_BF73_C5208F7CD5A6_.wvu.PrintTitles" localSheetId="8" hidden="1">'SAH-9 (Public)'!$6:$6</definedName>
    <definedName name="Z_34DC824A_B95F_4D02_B3C5_59B4B63E2C58_.wvu.FilterData" localSheetId="4" hidden="1">'SAH-5 (Public)'!$A$6:$J$6</definedName>
    <definedName name="Z_38D73177_5F55_4EAF_A57A_CB16DFBE7570_.wvu.FilterData" localSheetId="6" hidden="1">'SAH-7 (Public)'!$A$6:$J$6</definedName>
    <definedName name="Z_38D73177_5F55_4EAF_A57A_CB16DFBE7570_.wvu.PrintTitles" localSheetId="6" hidden="1">'SAH-7 (Public)'!$6:$6</definedName>
    <definedName name="Z_3905A457_5FB7_4EC5_8982_1C1ACF61DDA1_.wvu.FilterData" localSheetId="8" hidden="1">'SAH-9 (Public)'!$A$6:$J$6</definedName>
    <definedName name="Z_3905A457_5FB7_4EC5_8982_1C1ACF61DDA1_.wvu.PrintArea" localSheetId="8" hidden="1">'SAH-9 (Public)'!$A$1:$J$6</definedName>
    <definedName name="Z_3905A457_5FB7_4EC5_8982_1C1ACF61DDA1_.wvu.PrintTitles" localSheetId="8" hidden="1">'SAH-9 (Public)'!$6:$6</definedName>
    <definedName name="Z_39535C29_2EF6_4B46_993A_FD1317B4D321_.wvu.Cols" localSheetId="4" hidden="1">'SAH-5 (Public)'!#REF!</definedName>
    <definedName name="Z_39535C29_2EF6_4B46_993A_FD1317B4D321_.wvu.Cols" localSheetId="8" hidden="1">'SAH-9 (Public)'!#REF!</definedName>
    <definedName name="Z_39535C29_2EF6_4B46_993A_FD1317B4D321_.wvu.FilterData" localSheetId="4" hidden="1">'SAH-5 (Public)'!$A$6:$J$6</definedName>
    <definedName name="Z_39535C29_2EF6_4B46_993A_FD1317B4D321_.wvu.FilterData" localSheetId="8" hidden="1">'SAH-9 (Public)'!$A$6:$J$6</definedName>
    <definedName name="Z_39535C29_2EF6_4B46_993A_FD1317B4D321_.wvu.PrintTitles" localSheetId="4" hidden="1">'SAH-5 (Public)'!$6:$6</definedName>
    <definedName name="Z_39535C29_2EF6_4B46_993A_FD1317B4D321_.wvu.PrintTitles" localSheetId="8" hidden="1">'SAH-9 (Public)'!$6:$6</definedName>
    <definedName name="Z_39EBF744_FFB2_4731_8935_3C96420BFFD8_.wvu.FilterData" localSheetId="3" hidden="1">'SAH-4 (Public)'!$A$6:$J$6</definedName>
    <definedName name="Z_3AA4244B_F7CB_4E55_8D93_D0B0A0E55662_.wvu.FilterData" localSheetId="3" hidden="1">'SAH-4 (Public)'!$A$6:$N$6</definedName>
    <definedName name="Z_3AA4244B_F7CB_4E55_8D93_D0B0A0E55662_.wvu.FilterData" localSheetId="4" hidden="1">'SAH-5 (Public)'!$A$6:$J$6</definedName>
    <definedName name="Z_3B3F4A5F_B455_4CF5_8679_6013A0D47E00_.wvu.FilterData" localSheetId="3" hidden="1">'SAH-4 (Public)'!$A$6:$J$6</definedName>
    <definedName name="Z_3BC1366A_6B60_4276_B823_F6635659B00E_.wvu.Cols" localSheetId="4" hidden="1">'SAH-5 (Public)'!#REF!</definedName>
    <definedName name="Z_3BC1366A_6B60_4276_B823_F6635659B00E_.wvu.Cols" localSheetId="8" hidden="1">'SAH-9 (Public)'!#REF!</definedName>
    <definedName name="Z_3BC1366A_6B60_4276_B823_F6635659B00E_.wvu.FilterData" localSheetId="3" hidden="1">'SAH-4 (Public)'!$A$1:$J$6</definedName>
    <definedName name="Z_3BC1366A_6B60_4276_B823_F6635659B00E_.wvu.FilterData" localSheetId="4" hidden="1">'SAH-5 (Public)'!$A$6:$J$6</definedName>
    <definedName name="Z_3BC1366A_6B60_4276_B823_F6635659B00E_.wvu.FilterData" localSheetId="5" hidden="1">'SAH-6 (Public)'!$A$6:$J$6</definedName>
    <definedName name="Z_3BC1366A_6B60_4276_B823_F6635659B00E_.wvu.FilterData" localSheetId="8" hidden="1">'SAH-9 (Public)'!$A$6:$M$6</definedName>
    <definedName name="Z_3BC1366A_6B60_4276_B823_F6635659B00E_.wvu.PrintArea" localSheetId="3" hidden="1">'SAH-4 (Public)'!$A$1:$J$6</definedName>
    <definedName name="Z_3BC1366A_6B60_4276_B823_F6635659B00E_.wvu.PrintArea" localSheetId="4" hidden="1">'SAH-5 (Public)'!$A$1:$J$6</definedName>
    <definedName name="Z_3BC1366A_6B60_4276_B823_F6635659B00E_.wvu.PrintArea" localSheetId="5" hidden="1">'SAH-6 (Public)'!$A$1:$J$6</definedName>
    <definedName name="Z_3BC1366A_6B60_4276_B823_F6635659B00E_.wvu.PrintArea" localSheetId="8" hidden="1">'SAH-9 (Public)'!$A$1:$J$6</definedName>
    <definedName name="Z_3BC1366A_6B60_4276_B823_F6635659B00E_.wvu.PrintTitles" localSheetId="3" hidden="1">'SAH-4 (Public)'!$6:$6</definedName>
    <definedName name="Z_3BC1366A_6B60_4276_B823_F6635659B00E_.wvu.PrintTitles" localSheetId="4" hidden="1">'SAH-5 (Public)'!$6:$6</definedName>
    <definedName name="Z_3BC1366A_6B60_4276_B823_F6635659B00E_.wvu.PrintTitles" localSheetId="5" hidden="1">'SAH-6 (Public)'!$6:$6</definedName>
    <definedName name="Z_3BC1366A_6B60_4276_B823_F6635659B00E_.wvu.PrintTitles" localSheetId="8" hidden="1">'SAH-9 (Public)'!$6:$6</definedName>
    <definedName name="Z_3DE42F13_C86E_4D66_BC32_FC1EA2297756_.wvu.FilterData" localSheetId="5" hidden="1">'SAH-6 (Public)'!$A$6:$J$6</definedName>
    <definedName name="Z_3DE42F13_C86E_4D66_BC32_FC1EA2297756_.wvu.PrintArea" localSheetId="5" hidden="1">'SAH-6 (Public)'!$A$1:$J$6</definedName>
    <definedName name="Z_3DE42F13_C86E_4D66_BC32_FC1EA2297756_.wvu.PrintTitles" localSheetId="5" hidden="1">'SAH-6 (Public)'!$6:$6</definedName>
    <definedName name="Z_3F2219E0_4E30_4AB6_8A80_C006CD671F15_.wvu.FilterData" localSheetId="3" hidden="1">'SAH-4 (Public)'!$A$6:$N$6</definedName>
    <definedName name="Z_3F2219E0_4E30_4AB6_8A80_C006CD671F15_.wvu.FilterData" localSheetId="8" hidden="1">'SAH-9 (Public)'!$A$6:$M$6</definedName>
    <definedName name="Z_3F7613E3_4490_458B_8EF9_4848DB53D901_.wvu.FilterData" localSheetId="8" hidden="1">'SAH-9 (Public)'!$A$6:$J$6</definedName>
    <definedName name="Z_3F7613E3_4490_458B_8EF9_4848DB53D901_.wvu.PrintArea" localSheetId="8" hidden="1">'SAH-9 (Public)'!$A$1:$J$6</definedName>
    <definedName name="Z_3F7613E3_4490_458B_8EF9_4848DB53D901_.wvu.PrintTitles" localSheetId="8" hidden="1">'SAH-9 (Public)'!$6:$6</definedName>
    <definedName name="Z_40FF16D3_5370_4BD9_869B_3AC7AC7C7973_.wvu.Cols" localSheetId="5" hidden="1">'SAH-6 (Public)'!#REF!,'SAH-6 (Public)'!#REF!,'SAH-6 (Public)'!#REF!</definedName>
    <definedName name="Z_40FF16D3_5370_4BD9_869B_3AC7AC7C7973_.wvu.FilterData" localSheetId="5" hidden="1">'SAH-6 (Public)'!$A$6:$J$6</definedName>
    <definedName name="Z_40FF16D3_5370_4BD9_869B_3AC7AC7C7973_.wvu.PrintTitles" localSheetId="5" hidden="1">'SAH-6 (Public)'!$6:$6</definedName>
    <definedName name="Z_416E3A4E_D9CB_4A24_A32D_8C09D2B6C996_.wvu.Cols" localSheetId="5" hidden="1">'SAH-6 (Public)'!#REF!</definedName>
    <definedName name="Z_416E3A4E_D9CB_4A24_A32D_8C09D2B6C996_.wvu.FilterData" localSheetId="5" hidden="1">'SAH-6 (Public)'!$A$6:$J$6</definedName>
    <definedName name="Z_416E3A4E_D9CB_4A24_A32D_8C09D2B6C996_.wvu.PrintTitles" localSheetId="5" hidden="1">'SAH-6 (Public)'!$6:$6</definedName>
    <definedName name="Z_42AD495D_1294_477D_83B9_AD3C30E8DD92_.wvu.FilterData" localSheetId="3" hidden="1">'SAH-4 (Public)'!$A$6:$J$6</definedName>
    <definedName name="Z_42AD495D_1294_477D_83B9_AD3C30E8DD92_.wvu.FilterData" localSheetId="4" hidden="1">'SAH-5 (Public)'!$A$6:$J$6</definedName>
    <definedName name="Z_42AD495D_1294_477D_83B9_AD3C30E8DD92_.wvu.FilterData" localSheetId="5" hidden="1">'SAH-6 (Public)'!$A$6:$J$6</definedName>
    <definedName name="Z_42AD495D_1294_477D_83B9_AD3C30E8DD92_.wvu.FilterData" localSheetId="8" hidden="1">'SAH-9 (Public)'!$A$6:$J$6</definedName>
    <definedName name="Z_42DFC3B5_518B_46CF_B351_7E0F9F9E4427_.wvu.FilterData" localSheetId="3" hidden="1">'SAH-4 (Public)'!$A$6:$J$6</definedName>
    <definedName name="Z_4328C827_DD95_4AED_B5C7_E7E6F0782DA8_.wvu.FilterData" localSheetId="3" hidden="1">'SAH-4 (Public)'!$A$6:$N$6</definedName>
    <definedName name="Z_4328C827_DD95_4AED_B5C7_E7E6F0782DA8_.wvu.FilterData" localSheetId="4" hidden="1">'SAH-5 (Public)'!$A$6:$J$6</definedName>
    <definedName name="Z_4328C827_DD95_4AED_B5C7_E7E6F0782DA8_.wvu.FilterData" localSheetId="8" hidden="1">'SAH-9 (Public)'!$A$6:$CI$6</definedName>
    <definedName name="Z_47B1A8EE_71FB_432D_9F9B_41E9871531AB_.wvu.Cols" localSheetId="3" hidden="1">'SAH-4 (Public)'!#REF!</definedName>
    <definedName name="Z_47B1A8EE_71FB_432D_9F9B_41E9871531AB_.wvu.Cols" localSheetId="4" hidden="1">'SAH-5 (Public)'!#REF!</definedName>
    <definedName name="Z_47B1A8EE_71FB_432D_9F9B_41E9871531AB_.wvu.Cols" localSheetId="5" hidden="1">'SAH-6 (Public)'!#REF!</definedName>
    <definedName name="Z_47B1A8EE_71FB_432D_9F9B_41E9871531AB_.wvu.FilterData" localSheetId="3" hidden="1">'SAH-4 (Public)'!$A$6:$J$6</definedName>
    <definedName name="Z_47B1A8EE_71FB_432D_9F9B_41E9871531AB_.wvu.FilterData" localSheetId="4" hidden="1">'SAH-5 (Public)'!$A$6:$J$6</definedName>
    <definedName name="Z_47B1A8EE_71FB_432D_9F9B_41E9871531AB_.wvu.FilterData" localSheetId="5" hidden="1">'SAH-6 (Public)'!$A$6:$J$6</definedName>
    <definedName name="Z_47B1A8EE_71FB_432D_9F9B_41E9871531AB_.wvu.FilterData" localSheetId="8" hidden="1">'SAH-9 (Public)'!$A$6:$J$6</definedName>
    <definedName name="Z_47B1A8EE_71FB_432D_9F9B_41E9871531AB_.wvu.PrintTitles" localSheetId="3" hidden="1">'SAH-4 (Public)'!$6:$6</definedName>
    <definedName name="Z_47B1A8EE_71FB_432D_9F9B_41E9871531AB_.wvu.PrintTitles" localSheetId="4" hidden="1">'SAH-5 (Public)'!$6:$6</definedName>
    <definedName name="Z_47B1A8EE_71FB_432D_9F9B_41E9871531AB_.wvu.PrintTitles" localSheetId="5" hidden="1">'SAH-6 (Public)'!$6:$6</definedName>
    <definedName name="Z_47B1A8EE_71FB_432D_9F9B_41E9871531AB_.wvu.PrintTitles" localSheetId="8" hidden="1">'SAH-9 (Public)'!$6:$6</definedName>
    <definedName name="Z_491342C4_7AFF_4B4F_BBDC_FEF0E69AD3EF_.wvu.FilterData" localSheetId="8" hidden="1">'SAH-9 (Public)'!$A$6:$M$6</definedName>
    <definedName name="Z_496356D4_C33F_4A1C_A0FD_4A1CDC7C48BF_.wvu.FilterData" localSheetId="6" hidden="1">'SAH-7 (Public)'!$A$6:$J$6</definedName>
    <definedName name="Z_49A1F562_06EE_4E6A_82AF_225ADC26FE9A_.wvu.FilterData" localSheetId="3" hidden="1">'SAH-4 (Public)'!$A$6:$N$6</definedName>
    <definedName name="Z_49A1F562_06EE_4E6A_82AF_225ADC26FE9A_.wvu.PrintArea" localSheetId="3" hidden="1">'SAH-4 (Public)'!$A$1:$J$6</definedName>
    <definedName name="Z_49A1F562_06EE_4E6A_82AF_225ADC26FE9A_.wvu.PrintTitles" localSheetId="3" hidden="1">'SAH-4 (Public)'!$6:$6</definedName>
    <definedName name="Z_4A7D05B1_B370_4335_AC88_681A48C44430_.wvu.FilterData" localSheetId="3" hidden="1">'SAH-4 (Public)'!$A$6:$N$6</definedName>
    <definedName name="Z_4AE95D0F_F25C_4E78_B8DF_B1133D020B7D_.wvu.FilterData" localSheetId="4" hidden="1">'SAH-5 (Public)'!$A$6:$J$6</definedName>
    <definedName name="Z_4AEC94B3_A4FD_43E9_88BD_4142D0F2FD20_.wvu.FilterData" localSheetId="3" hidden="1">'SAH-4 (Public)'!$A$6:$J$6</definedName>
    <definedName name="Z_4AEC94B3_A4FD_43E9_88BD_4142D0F2FD20_.wvu.FilterData" localSheetId="4" hidden="1">'SAH-5 (Public)'!$A$6:$J$6</definedName>
    <definedName name="Z_4AEC94B3_A4FD_43E9_88BD_4142D0F2FD20_.wvu.FilterData" localSheetId="5" hidden="1">'SAH-6 (Public)'!$A$6:$J$6</definedName>
    <definedName name="Z_4AEC94B3_A4FD_43E9_88BD_4142D0F2FD20_.wvu.FilterData" localSheetId="8" hidden="1">'SAH-9 (Public)'!$A$6:$J$6</definedName>
    <definedName name="Z_4AEC94B3_A4FD_43E9_88BD_4142D0F2FD20_.wvu.PrintArea" localSheetId="3" hidden="1">'SAH-4 (Public)'!$A$1:$J$6</definedName>
    <definedName name="Z_4AEC94B3_A4FD_43E9_88BD_4142D0F2FD20_.wvu.PrintArea" localSheetId="4" hidden="1">'SAH-5 (Public)'!$A$1:$J$6</definedName>
    <definedName name="Z_4AEC94B3_A4FD_43E9_88BD_4142D0F2FD20_.wvu.PrintArea" localSheetId="5" hidden="1">'SAH-6 (Public)'!$A$1:$J$6</definedName>
    <definedName name="Z_4AEC94B3_A4FD_43E9_88BD_4142D0F2FD20_.wvu.PrintArea" localSheetId="8" hidden="1">'SAH-9 (Public)'!$A$1:$J$6</definedName>
    <definedName name="Z_4AEC94B3_A4FD_43E9_88BD_4142D0F2FD20_.wvu.PrintTitles" localSheetId="3" hidden="1">'SAH-4 (Public)'!$6:$6</definedName>
    <definedName name="Z_4AEC94B3_A4FD_43E9_88BD_4142D0F2FD20_.wvu.PrintTitles" localSheetId="4" hidden="1">'SAH-5 (Public)'!$6:$6</definedName>
    <definedName name="Z_4AEC94B3_A4FD_43E9_88BD_4142D0F2FD20_.wvu.PrintTitles" localSheetId="5" hidden="1">'SAH-6 (Public)'!$6:$6</definedName>
    <definedName name="Z_4AEC94B3_A4FD_43E9_88BD_4142D0F2FD20_.wvu.PrintTitles" localSheetId="8" hidden="1">'SAH-9 (Public)'!$6:$6</definedName>
    <definedName name="Z_4B41C1CD_F07F_4533_9B7A_59195446E590_.wvu.Cols" localSheetId="4" hidden="1">'SAH-5 (Public)'!#REF!,'SAH-5 (Public)'!#REF!</definedName>
    <definedName name="Z_4B41C1CD_F07F_4533_9B7A_59195446E590_.wvu.FilterData" localSheetId="3" hidden="1">'SAH-4 (Public)'!$A$6:$N$6</definedName>
    <definedName name="Z_4B41C1CD_F07F_4533_9B7A_59195446E590_.wvu.FilterData" localSheetId="4" hidden="1">'SAH-5 (Public)'!$A$6:$J$6</definedName>
    <definedName name="Z_4B41C1CD_F07F_4533_9B7A_59195446E590_.wvu.FilterData" localSheetId="5" hidden="1">'SAH-6 (Public)'!$A$6:$J$6</definedName>
    <definedName name="Z_4B41C1CD_F07F_4533_9B7A_59195446E590_.wvu.FilterData" localSheetId="8" hidden="1">'SAH-9 (Public)'!$A$6:$M$6</definedName>
    <definedName name="Z_4B41C1CD_F07F_4533_9B7A_59195446E590_.wvu.PrintTitles" localSheetId="3" hidden="1">'SAH-4 (Public)'!$6:$6</definedName>
    <definedName name="Z_4B41C1CD_F07F_4533_9B7A_59195446E590_.wvu.PrintTitles" localSheetId="4" hidden="1">'SAH-5 (Public)'!$6:$6</definedName>
    <definedName name="Z_4B41C1CD_F07F_4533_9B7A_59195446E590_.wvu.PrintTitles" localSheetId="5" hidden="1">'SAH-6 (Public)'!$6:$6</definedName>
    <definedName name="Z_4B41C1CD_F07F_4533_9B7A_59195446E590_.wvu.PrintTitles" localSheetId="8" hidden="1">'SAH-9 (Public)'!$6:$6</definedName>
    <definedName name="Z_4C97EE90_CEE8_440E_B4ED_7E053EB4F8B6_.wvu.Cols" localSheetId="6" hidden="1">'SAH-7 (Public)'!#REF!</definedName>
    <definedName name="Z_4C97EE90_CEE8_440E_B4ED_7E053EB4F8B6_.wvu.FilterData" localSheetId="6" hidden="1">'SAH-7 (Public)'!$A$6:$J$6</definedName>
    <definedName name="Z_4C97EE90_CEE8_440E_B4ED_7E053EB4F8B6_.wvu.PrintTitles" localSheetId="6" hidden="1">'SAH-7 (Public)'!$6:$6</definedName>
    <definedName name="Z_4CD1D943_0D47_49DB_A6EB_0B6220D7AB64_.wvu.FilterData" localSheetId="6" hidden="1">'SAH-7 (Public)'!$A$6:$J$6</definedName>
    <definedName name="Z_4CD1D943_0D47_49DB_A6EB_0B6220D7AB64_.wvu.PrintTitles" localSheetId="6" hidden="1">'SAH-7 (Public)'!$6:$6</definedName>
    <definedName name="Z_4E03F492_E629_43CE_8130_D9510B13D749_.wvu.FilterData" localSheetId="8" hidden="1">'SAH-9 (Public)'!$A$6:$J$6</definedName>
    <definedName name="Z_4E03F492_E629_43CE_8130_D9510B13D749_.wvu.PrintArea" localSheetId="8" hidden="1">'SAH-9 (Public)'!$A$1:$J$6</definedName>
    <definedName name="Z_4E03F492_E629_43CE_8130_D9510B13D749_.wvu.PrintTitles" localSheetId="8" hidden="1">'SAH-9 (Public)'!$6:$6</definedName>
    <definedName name="Z_4E0E16F6_3A93_4C29_B093_177ED25BCC64_.wvu.FilterData" localSheetId="4" hidden="1">'SAH-5 (Public)'!$A$6:$J$6</definedName>
    <definedName name="Z_4E2F8B17_5A79_45F5_9039_CAB5008EDA35_.wvu.FilterData" localSheetId="4" hidden="1">'SAH-5 (Public)'!$A$6:$J$6</definedName>
    <definedName name="Z_4E2F8B17_5A79_45F5_9039_CAB5008EDA35_.wvu.FilterData" localSheetId="5" hidden="1">'SAH-6 (Public)'!$A$6:$J$6</definedName>
    <definedName name="Z_4E33128F_9CDA_45AE_BB6D_677B9C23F246_.wvu.FilterData" localSheetId="3" hidden="1">'SAH-4 (Public)'!$A$6:$N$6</definedName>
    <definedName name="Z_4E6FAB50_7FD9_4C68_BAE3_78372CDBB367_.wvu.FilterData" localSheetId="4" hidden="1">'SAH-5 (Public)'!$A$6:$J$6</definedName>
    <definedName name="Z_4EA3662A_87BE_463E_97FF_183233687E4D_.wvu.FilterData" localSheetId="3" hidden="1">'SAH-4 (Public)'!$A$6:$N$6</definedName>
    <definedName name="Z_4EA3662A_87BE_463E_97FF_183233687E4D_.wvu.FilterData" localSheetId="4" hidden="1">'SAH-5 (Public)'!$A$6:$J$6</definedName>
    <definedName name="Z_4EA3662A_87BE_463E_97FF_183233687E4D_.wvu.FilterData" localSheetId="5" hidden="1">'SAH-6 (Public)'!$A$6:$J$6</definedName>
    <definedName name="Z_4EA3662A_87BE_463E_97FF_183233687E4D_.wvu.FilterData" localSheetId="6" hidden="1">'SAH-7 (Public)'!$A$6:$J$6</definedName>
    <definedName name="Z_4EA3662A_87BE_463E_97FF_183233687E4D_.wvu.FilterData" localSheetId="8" hidden="1">'SAH-9 (Public)'!$A$6:$CI$6</definedName>
    <definedName name="Z_4EA3662A_87BE_463E_97FF_183233687E4D_.wvu.PrintArea" localSheetId="4" hidden="1">'SAH-5 (Public)'!$A$1:$J$6</definedName>
    <definedName name="Z_4EA3662A_87BE_463E_97FF_183233687E4D_.wvu.PrintArea" localSheetId="5" hidden="1">'SAH-6 (Public)'!$A$1:$J$6</definedName>
    <definedName name="Z_4EA3662A_87BE_463E_97FF_183233687E4D_.wvu.PrintArea" localSheetId="8" hidden="1">'SAH-9 (Public)'!$A$1:$J$6</definedName>
    <definedName name="Z_4EA3662A_87BE_463E_97FF_183233687E4D_.wvu.PrintTitles" localSheetId="3" hidden="1">'SAH-4 (Public)'!$1:$6</definedName>
    <definedName name="Z_4EA3662A_87BE_463E_97FF_183233687E4D_.wvu.PrintTitles" localSheetId="4" hidden="1">'SAH-5 (Public)'!$1:$6</definedName>
    <definedName name="Z_4EA3662A_87BE_463E_97FF_183233687E4D_.wvu.PrintTitles" localSheetId="5" hidden="1">'SAH-6 (Public)'!$1:$6</definedName>
    <definedName name="Z_4EA3662A_87BE_463E_97FF_183233687E4D_.wvu.PrintTitles" localSheetId="6" hidden="1">'SAH-7 (Public)'!$1:$6</definedName>
    <definedName name="Z_4EA3662A_87BE_463E_97FF_183233687E4D_.wvu.PrintTitles" localSheetId="8" hidden="1">'SAH-9 (Public)'!$1:$6</definedName>
    <definedName name="Z_4EBA9AA4_CDD8_44D7_8C3F_D06F3DF1ADEB_.wvu.FilterData" localSheetId="8" hidden="1">'SAH-9 (Public)'!$A$6:$J$6</definedName>
    <definedName name="Z_4EBA9AA4_CDD8_44D7_8C3F_D06F3DF1ADEB_.wvu.PrintArea" localSheetId="8" hidden="1">'SAH-9 (Public)'!$A$1:$J$6</definedName>
    <definedName name="Z_4EBA9AA4_CDD8_44D7_8C3F_D06F3DF1ADEB_.wvu.PrintTitles" localSheetId="8" hidden="1">'SAH-9 (Public)'!$6:$6</definedName>
    <definedName name="Z_4F4330B7_AFBC_4176_84CD_B71DD7D5224B_.wvu.FilterData" localSheetId="3" hidden="1">'SAH-4 (Public)'!$A$6:$J$6</definedName>
    <definedName name="Z_4F4330B7_AFBC_4176_84CD_B71DD7D5224B_.wvu.FilterData" localSheetId="4" hidden="1">'SAH-5 (Public)'!$A$6:$J$6</definedName>
    <definedName name="Z_4F4330B7_AFBC_4176_84CD_B71DD7D5224B_.wvu.FilterData" localSheetId="5" hidden="1">'SAH-6 (Public)'!$A$6:$J$6</definedName>
    <definedName name="Z_4F4330B7_AFBC_4176_84CD_B71DD7D5224B_.wvu.FilterData" localSheetId="6" hidden="1">'SAH-7 (Public)'!$A$6:$J$6</definedName>
    <definedName name="Z_4F4330B7_AFBC_4176_84CD_B71DD7D5224B_.wvu.FilterData" localSheetId="8" hidden="1">'SAH-9 (Public)'!$A$6:$J$6</definedName>
    <definedName name="Z_4F4330B7_AFBC_4176_84CD_B71DD7D5224B_.wvu.PrintArea" localSheetId="3" hidden="1">'SAH-4 (Public)'!$A$1:$J$6</definedName>
    <definedName name="Z_4F4330B7_AFBC_4176_84CD_B71DD7D5224B_.wvu.PrintArea" localSheetId="4" hidden="1">'SAH-5 (Public)'!$A$1:$J$6</definedName>
    <definedName name="Z_4F4330B7_AFBC_4176_84CD_B71DD7D5224B_.wvu.PrintArea" localSheetId="5" hidden="1">'SAH-6 (Public)'!$A$1:$J$6</definedName>
    <definedName name="Z_4F4330B7_AFBC_4176_84CD_B71DD7D5224B_.wvu.PrintArea" localSheetId="6" hidden="1">'SAH-7 (Public)'!$A$1:$J$6</definedName>
    <definedName name="Z_4F4330B7_AFBC_4176_84CD_B71DD7D5224B_.wvu.PrintArea" localSheetId="8" hidden="1">'SAH-9 (Public)'!$A$1:$J$6</definedName>
    <definedName name="Z_4F4330B7_AFBC_4176_84CD_B71DD7D5224B_.wvu.PrintTitles" localSheetId="3" hidden="1">'SAH-4 (Public)'!$6:$6</definedName>
    <definedName name="Z_4F4330B7_AFBC_4176_84CD_B71DD7D5224B_.wvu.PrintTitles" localSheetId="4" hidden="1">'SAH-5 (Public)'!$6:$6</definedName>
    <definedName name="Z_4F4330B7_AFBC_4176_84CD_B71DD7D5224B_.wvu.PrintTitles" localSheetId="5" hidden="1">'SAH-6 (Public)'!$6:$6</definedName>
    <definedName name="Z_4F4330B7_AFBC_4176_84CD_B71DD7D5224B_.wvu.PrintTitles" localSheetId="8" hidden="1">'SAH-9 (Public)'!$6:$6</definedName>
    <definedName name="Z_4FD09128_756F_4711_8714_5EECF2F94970_.wvu.FilterData" localSheetId="3" hidden="1">'SAH-4 (Public)'!$A$6:$J$6</definedName>
    <definedName name="Z_528713A7_3AA3_4738_BD5C_89A4A359A32E_.wvu.FilterData" localSheetId="8" hidden="1">'SAH-9 (Public)'!$A$6:$J$6</definedName>
    <definedName name="Z_528713A7_3AA3_4738_BD5C_89A4A359A32E_.wvu.PrintArea" localSheetId="8" hidden="1">'SAH-9 (Public)'!$A$1:$J$6</definedName>
    <definedName name="Z_528713A7_3AA3_4738_BD5C_89A4A359A32E_.wvu.PrintTitles" localSheetId="8" hidden="1">'SAH-9 (Public)'!$6:$6</definedName>
    <definedName name="Z_53BC9E0D_E894_41B5_B012_266354BC623E_.wvu.FilterData" localSheetId="3" hidden="1">'SAH-4 (Public)'!$A$6:$J$6</definedName>
    <definedName name="Z_545B6BB0_A4E7_4601_BB03_314760B2909E_.wvu.Cols" localSheetId="8" hidden="1">'SAH-9 (Public)'!#REF!</definedName>
    <definedName name="Z_545B6BB0_A4E7_4601_BB03_314760B2909E_.wvu.FilterData" localSheetId="3" hidden="1">'SAH-4 (Public)'!$A$6:$J$6</definedName>
    <definedName name="Z_545B6BB0_A4E7_4601_BB03_314760B2909E_.wvu.FilterData" localSheetId="4" hidden="1">'SAH-5 (Public)'!$A$6:$J$6</definedName>
    <definedName name="Z_545B6BB0_A4E7_4601_BB03_314760B2909E_.wvu.FilterData" localSheetId="5" hidden="1">'SAH-6 (Public)'!$A$6:$J$6</definedName>
    <definedName name="Z_545B6BB0_A4E7_4601_BB03_314760B2909E_.wvu.FilterData" localSheetId="8" hidden="1">'SAH-9 (Public)'!$A$6:$M$6</definedName>
    <definedName name="Z_545B6BB0_A4E7_4601_BB03_314760B2909E_.wvu.PrintTitles" localSheetId="3" hidden="1">'SAH-4 (Public)'!$6:$6</definedName>
    <definedName name="Z_545B6BB0_A4E7_4601_BB03_314760B2909E_.wvu.PrintTitles" localSheetId="4" hidden="1">'SAH-5 (Public)'!$6:$6</definedName>
    <definedName name="Z_545B6BB0_A4E7_4601_BB03_314760B2909E_.wvu.PrintTitles" localSheetId="5" hidden="1">'SAH-6 (Public)'!$6:$6</definedName>
    <definedName name="Z_545B6BB0_A4E7_4601_BB03_314760B2909E_.wvu.PrintTitles" localSheetId="8" hidden="1">'SAH-9 (Public)'!$6:$6</definedName>
    <definedName name="Z_55A66B76_666E_4973_9011_CF283A4D6CDA_.wvu.FilterData" localSheetId="4" hidden="1">'SAH-5 (Public)'!$A$6:$J$6</definedName>
    <definedName name="Z_55A66B76_666E_4973_9011_CF283A4D6CDA_.wvu.FilterData" localSheetId="8" hidden="1">'SAH-9 (Public)'!$A$6:$J$6</definedName>
    <definedName name="Z_57DEB679_D232_4D8B_9116_BE9DC98BE2E6_.wvu.FilterData" localSheetId="8" hidden="1">'SAH-9 (Public)'!$A$6:$J$6</definedName>
    <definedName name="Z_587A72AE_2DAD_48E2_813D_5D21E7E49156_.wvu.FilterData" localSheetId="4" hidden="1">'SAH-5 (Public)'!$A$6:$J$6</definedName>
    <definedName name="Z_5A3E0DAA_06EB_48B4_B979_69F5354CD8B7_.wvu.FilterData" localSheetId="4" hidden="1">'SAH-5 (Public)'!$A$6:$J$6</definedName>
    <definedName name="Z_5AC5FFD0_B06C_4290_BD74_9AA1AAB6BF3F_.wvu.FilterData" localSheetId="3" hidden="1">'SAH-4 (Public)'!$A$6:$N$6</definedName>
    <definedName name="Z_5D2F6EC3_8E96_4FAA_94F8_D44554D6DBD9_.wvu.FilterData" localSheetId="8" hidden="1">'SAH-9 (Public)'!$A$6:$G$6</definedName>
    <definedName name="Z_5D2F6EC3_8E96_4FAA_94F8_D44554D6DBD9_.wvu.PrintArea" localSheetId="8" hidden="1">'SAH-9 (Public)'!$A$1:$G$6</definedName>
    <definedName name="Z_5D2F6EC3_8E96_4FAA_94F8_D44554D6DBD9_.wvu.PrintTitles" localSheetId="8" hidden="1">'SAH-9 (Public)'!$1:$6</definedName>
    <definedName name="Z_5E474A7E_B9E0_4B85_8DC1_10BB02B2BA5C_.wvu.FilterData" localSheetId="3" hidden="1">'SAH-4 (Public)'!$A$6:$N$6</definedName>
    <definedName name="Z_5E474A7E_B9E0_4B85_8DC1_10BB02B2BA5C_.wvu.FilterData" localSheetId="4" hidden="1">'SAH-5 (Public)'!$A$6:$J$6</definedName>
    <definedName name="Z_5E474A7E_B9E0_4B85_8DC1_10BB02B2BA5C_.wvu.FilterData" localSheetId="5" hidden="1">'SAH-6 (Public)'!$A$6:$J$6</definedName>
    <definedName name="Z_5E474A7E_B9E0_4B85_8DC1_10BB02B2BA5C_.wvu.FilterData" localSheetId="6" hidden="1">'SAH-7 (Public)'!$A$6:$J$6</definedName>
    <definedName name="Z_5E474A7E_B9E0_4B85_8DC1_10BB02B2BA5C_.wvu.FilterData" localSheetId="8" hidden="1">'SAH-9 (Public)'!$A$6:$CI$6</definedName>
    <definedName name="Z_5E474A7E_B9E0_4B85_8DC1_10BB02B2BA5C_.wvu.PrintArea" localSheetId="4" hidden="1">'SAH-5 (Public)'!$A$1:$J$6</definedName>
    <definedName name="Z_5E474A7E_B9E0_4B85_8DC1_10BB02B2BA5C_.wvu.PrintArea" localSheetId="5" hidden="1">'SAH-6 (Public)'!$A$1:$J$6</definedName>
    <definedName name="Z_5E474A7E_B9E0_4B85_8DC1_10BB02B2BA5C_.wvu.PrintArea" localSheetId="8" hidden="1">'SAH-9 (Public)'!$A$1:$J$6</definedName>
    <definedName name="Z_5E474A7E_B9E0_4B85_8DC1_10BB02B2BA5C_.wvu.PrintTitles" localSheetId="3" hidden="1">'SAH-4 (Public)'!$1:$6</definedName>
    <definedName name="Z_5E474A7E_B9E0_4B85_8DC1_10BB02B2BA5C_.wvu.PrintTitles" localSheetId="4" hidden="1">'SAH-5 (Public)'!$1:$6</definedName>
    <definedName name="Z_5E474A7E_B9E0_4B85_8DC1_10BB02B2BA5C_.wvu.PrintTitles" localSheetId="5" hidden="1">'SAH-6 (Public)'!$1:$6</definedName>
    <definedName name="Z_5E474A7E_B9E0_4B85_8DC1_10BB02B2BA5C_.wvu.PrintTitles" localSheetId="6" hidden="1">'SAH-7 (Public)'!$1:$6</definedName>
    <definedName name="Z_5E474A7E_B9E0_4B85_8DC1_10BB02B2BA5C_.wvu.PrintTitles" localSheetId="8" hidden="1">'SAH-9 (Public)'!$1:$6</definedName>
    <definedName name="Z_5EA8D334_BB87_400D_A795_A53EDDDABDA2_.wvu.FilterData" localSheetId="3" hidden="1">'SAH-4 (Public)'!$A$6:$J$6</definedName>
    <definedName name="Z_5F1ABB90_251F_405C_941C_CD95584D0E6C_.wvu.FilterData" localSheetId="4" hidden="1">'SAH-5 (Public)'!$A$6:$J$6</definedName>
    <definedName name="Z_5F1ABB90_251F_405C_941C_CD95584D0E6C_.wvu.FilterData" localSheetId="6" hidden="1">'SAH-7 (Public)'!$A$6:$J$6</definedName>
    <definedName name="Z_5F1ABB90_251F_405C_941C_CD95584D0E6C_.wvu.PrintArea" localSheetId="4" hidden="1">'SAH-5 (Public)'!$A$1:$J$6</definedName>
    <definedName name="Z_5F1ABB90_251F_405C_941C_CD95584D0E6C_.wvu.PrintArea" localSheetId="6" hidden="1">'SAH-7 (Public)'!$A$1:$J$6</definedName>
    <definedName name="Z_5F1ABB90_251F_405C_941C_CD95584D0E6C_.wvu.PrintTitles" localSheetId="4" hidden="1">'SAH-5 (Public)'!$6:$6</definedName>
    <definedName name="Z_5F50CADA_D234_40BA_8757_5FD7AE3D79F3_.wvu.FilterData" localSheetId="8" hidden="1">'SAH-9 (Public)'!$A$6:$J$6</definedName>
    <definedName name="Z_5F50CADA_D234_40BA_8757_5FD7AE3D79F3_.wvu.PrintArea" localSheetId="8" hidden="1">'SAH-9 (Public)'!$A$1:$J$6</definedName>
    <definedName name="Z_5F50CADA_D234_40BA_8757_5FD7AE3D79F3_.wvu.PrintTitles" localSheetId="8" hidden="1">'SAH-9 (Public)'!$6:$6</definedName>
    <definedName name="Z_6038DB7A_B37C_4E97_B133_803B12D76823_.wvu.FilterData" localSheetId="8" hidden="1">'SAH-9 (Public)'!$A$6:$M$6</definedName>
    <definedName name="Z_6147DFD4_37AC_4F34_B69D_C967A9B2760A_.wvu.FilterData" localSheetId="8" hidden="1">'SAH-9 (Public)'!$A$6:$J$6</definedName>
    <definedName name="Z_6179C473_C911_4E9C_90B7_B4DB00E2C871_.wvu.FilterData" localSheetId="8" hidden="1">'SAH-9 (Public)'!$A$6:$M$6</definedName>
    <definedName name="Z_619C5D83_7A2E_4443_90BE_12A634CD0E19_.wvu.FilterData" localSheetId="8" hidden="1">'SAH-9 (Public)'!$A$6:$J$6</definedName>
    <definedName name="Z_62A9A668_004C_4961_AE96_CB06FEE01478_.wvu.Cols" localSheetId="4" hidden="1">'SAH-5 (Public)'!#REF!</definedName>
    <definedName name="Z_62A9A668_004C_4961_AE96_CB06FEE01478_.wvu.Cols" localSheetId="5" hidden="1">'SAH-6 (Public)'!#REF!</definedName>
    <definedName name="Z_62A9A668_004C_4961_AE96_CB06FEE01478_.wvu.FilterData" localSheetId="3" hidden="1">'SAH-4 (Public)'!$A$6:$N$6</definedName>
    <definedName name="Z_62A9A668_004C_4961_AE96_CB06FEE01478_.wvu.FilterData" localSheetId="4" hidden="1">'SAH-5 (Public)'!$A$6:$J$6</definedName>
    <definedName name="Z_62A9A668_004C_4961_AE96_CB06FEE01478_.wvu.FilterData" localSheetId="5" hidden="1">'SAH-6 (Public)'!$A$6:$J$6</definedName>
    <definedName name="Z_62A9A668_004C_4961_AE96_CB06FEE01478_.wvu.FilterData" localSheetId="6" hidden="1">'SAH-7 (Public)'!$A$6:$J$6</definedName>
    <definedName name="Z_62A9A668_004C_4961_AE96_CB06FEE01478_.wvu.FilterData" localSheetId="8" hidden="1">'SAH-9 (Public)'!$A$6:$M$6</definedName>
    <definedName name="Z_62A9A668_004C_4961_AE96_CB06FEE01478_.wvu.PrintTitles" localSheetId="3" hidden="1">'SAH-4 (Public)'!$6:$6</definedName>
    <definedName name="Z_62A9A668_004C_4961_AE96_CB06FEE01478_.wvu.PrintTitles" localSheetId="4" hidden="1">'SAH-5 (Public)'!$6:$6</definedName>
    <definedName name="Z_62A9A668_004C_4961_AE96_CB06FEE01478_.wvu.PrintTitles" localSheetId="5" hidden="1">'SAH-6 (Public)'!$6:$6</definedName>
    <definedName name="Z_62A9A668_004C_4961_AE96_CB06FEE01478_.wvu.PrintTitles" localSheetId="6" hidden="1">'SAH-7 (Public)'!$6:$6</definedName>
    <definedName name="Z_62A9A668_004C_4961_AE96_CB06FEE01478_.wvu.PrintTitles" localSheetId="8" hidden="1">'SAH-9 (Public)'!$6:$6</definedName>
    <definedName name="Z_62D96B7D_4AB4_4A2B_8831_B3E2B14EB4FB_.wvu.FilterData" localSheetId="4" hidden="1">'SAH-5 (Public)'!$A$6:$J$6</definedName>
    <definedName name="Z_62DE3435_1588_4A1B_8C19_9F0EB8F4C226_.wvu.Cols" localSheetId="3" hidden="1">'SAH-4 (Public)'!#REF!,'SAH-4 (Public)'!#REF!</definedName>
    <definedName name="Z_62DE3435_1588_4A1B_8C19_9F0EB8F4C226_.wvu.Cols" localSheetId="4" hidden="1">'SAH-5 (Public)'!#REF!,'SAH-5 (Public)'!#REF!,'SAH-5 (Public)'!#REF!</definedName>
    <definedName name="Z_62DE3435_1588_4A1B_8C19_9F0EB8F4C226_.wvu.Cols" localSheetId="5" hidden="1">'SAH-6 (Public)'!#REF!,'SAH-6 (Public)'!#REF!</definedName>
    <definedName name="Z_62DE3435_1588_4A1B_8C19_9F0EB8F4C226_.wvu.Cols" localSheetId="6" hidden="1">'SAH-7 (Public)'!#REF!,'SAH-7 (Public)'!#REF!,'SAH-7 (Public)'!#REF!</definedName>
    <definedName name="Z_62DE3435_1588_4A1B_8C19_9F0EB8F4C226_.wvu.Cols" localSheetId="8" hidden="1">'SAH-9 (Public)'!#REF!</definedName>
    <definedName name="Z_62DE3435_1588_4A1B_8C19_9F0EB8F4C226_.wvu.FilterData" localSheetId="3" hidden="1">'SAH-4 (Public)'!$A$6:$J$6</definedName>
    <definedName name="Z_62DE3435_1588_4A1B_8C19_9F0EB8F4C226_.wvu.FilterData" localSheetId="4" hidden="1">'SAH-5 (Public)'!$A$6:$J$6</definedName>
    <definedName name="Z_62DE3435_1588_4A1B_8C19_9F0EB8F4C226_.wvu.FilterData" localSheetId="5" hidden="1">'SAH-6 (Public)'!$A$6:$J$6</definedName>
    <definedName name="Z_62DE3435_1588_4A1B_8C19_9F0EB8F4C226_.wvu.FilterData" localSheetId="6" hidden="1">'SAH-7 (Public)'!$A$6:$J$6</definedName>
    <definedName name="Z_62DE3435_1588_4A1B_8C19_9F0EB8F4C226_.wvu.FilterData" localSheetId="8" hidden="1">'SAH-9 (Public)'!$A$6:$J$6</definedName>
    <definedName name="Z_62DE3435_1588_4A1B_8C19_9F0EB8F4C226_.wvu.PrintArea" localSheetId="3" hidden="1">'SAH-4 (Public)'!$A$1:$J$6</definedName>
    <definedName name="Z_62DE3435_1588_4A1B_8C19_9F0EB8F4C226_.wvu.PrintArea" localSheetId="4" hidden="1">'SAH-5 (Public)'!$A$1:$J$6</definedName>
    <definedName name="Z_62DE3435_1588_4A1B_8C19_9F0EB8F4C226_.wvu.PrintArea" localSheetId="5" hidden="1">'SAH-6 (Public)'!$A$1:$J$6</definedName>
    <definedName name="Z_62DE3435_1588_4A1B_8C19_9F0EB8F4C226_.wvu.PrintArea" localSheetId="6" hidden="1">'SAH-7 (Public)'!$A$1:$J$6</definedName>
    <definedName name="Z_62DE3435_1588_4A1B_8C19_9F0EB8F4C226_.wvu.PrintArea" localSheetId="8" hidden="1">'SAH-9 (Public)'!$A$1:$J$6</definedName>
    <definedName name="Z_62DE3435_1588_4A1B_8C19_9F0EB8F4C226_.wvu.PrintTitles" localSheetId="3" hidden="1">'SAH-4 (Public)'!$6:$6</definedName>
    <definedName name="Z_62DE3435_1588_4A1B_8C19_9F0EB8F4C226_.wvu.PrintTitles" localSheetId="4" hidden="1">'SAH-5 (Public)'!$6:$6</definedName>
    <definedName name="Z_62DE3435_1588_4A1B_8C19_9F0EB8F4C226_.wvu.PrintTitles" localSheetId="5" hidden="1">'SAH-6 (Public)'!$6:$6</definedName>
    <definedName name="Z_62DE3435_1588_4A1B_8C19_9F0EB8F4C226_.wvu.PrintTitles" localSheetId="8" hidden="1">'SAH-9 (Public)'!$6:$6</definedName>
    <definedName name="Z_62E7FA4E_823F_4FD9_AECE_DC37317DE920_.wvu.FilterData" localSheetId="8" hidden="1">'SAH-9 (Public)'!$A$6:$J$6</definedName>
    <definedName name="Z_63A10165_0DED_4FE0_935F_ECC14A842ACA_.wvu.FilterData" localSheetId="8" hidden="1">'SAH-9 (Public)'!$A$6:$G$6</definedName>
    <definedName name="Z_63A10165_0DED_4FE0_935F_ECC14A842ACA_.wvu.PrintArea" localSheetId="8" hidden="1">'SAH-9 (Public)'!$A$1:$G$6</definedName>
    <definedName name="Z_63A10165_0DED_4FE0_935F_ECC14A842ACA_.wvu.PrintTitles" localSheetId="8" hidden="1">'SAH-9 (Public)'!$6:$6</definedName>
    <definedName name="Z_64C69C85_9F2D_4CF1_AABE_B6DE53292A5F_.wvu.FilterData" localSheetId="8" hidden="1">'SAH-9 (Public)'!$A$6:$J$6</definedName>
    <definedName name="Z_650688DA_6AF7_4DDF_BA89_9DF7B36849E7_.wvu.FilterData" localSheetId="4" hidden="1">'SAH-5 (Public)'!$A$6:$J$6</definedName>
    <definedName name="Z_650688DA_6AF7_4DDF_BA89_9DF7B36849E7_.wvu.FilterData" localSheetId="6" hidden="1">'SAH-7 (Public)'!$A$6:$J$6</definedName>
    <definedName name="Z_650688DA_6AF7_4DDF_BA89_9DF7B36849E7_.wvu.PrintArea" localSheetId="4" hidden="1">'SAH-5 (Public)'!$A$1:$J$6</definedName>
    <definedName name="Z_650688DA_6AF7_4DDF_BA89_9DF7B36849E7_.wvu.PrintArea" localSheetId="6" hidden="1">'SAH-7 (Public)'!$A$1:$J$6</definedName>
    <definedName name="Z_650688DA_6AF7_4DDF_BA89_9DF7B36849E7_.wvu.PrintTitles" localSheetId="4" hidden="1">'SAH-5 (Public)'!$6:$6</definedName>
    <definedName name="Z_65CB2BD6_A205_4A8E_9E17_5A0754C183DC_.wvu.Cols" localSheetId="5" hidden="1">'SAH-6 (Public)'!#REF!</definedName>
    <definedName name="Z_65CB2BD6_A205_4A8E_9E17_5A0754C183DC_.wvu.FilterData" localSheetId="5" hidden="1">'SAH-6 (Public)'!$A$6:$J$6</definedName>
    <definedName name="Z_65CB2BD6_A205_4A8E_9E17_5A0754C183DC_.wvu.PrintTitles" localSheetId="5" hidden="1">'SAH-6 (Public)'!$6:$6</definedName>
    <definedName name="Z_69272ADD_3800_45E8_8032_2057176027FB_.wvu.FilterData" localSheetId="8" hidden="1">'SAH-9 (Public)'!$A$6:$J$6</definedName>
    <definedName name="Z_6A3667D9_41A3_4F3E_890C_A8E9EDBA5F0E_.wvu.Cols" localSheetId="4" hidden="1">'SAH-5 (Public)'!#REF!,'SAH-5 (Public)'!#REF!,'SAH-5 (Public)'!#REF!</definedName>
    <definedName name="Z_6A3667D9_41A3_4F3E_890C_A8E9EDBA5F0E_.wvu.Cols" localSheetId="8" hidden="1">'SAH-9 (Public)'!#REF!,'SAH-9 (Public)'!#REF!,'SAH-9 (Public)'!#REF!</definedName>
    <definedName name="Z_6A3667D9_41A3_4F3E_890C_A8E9EDBA5F0E_.wvu.FilterData" localSheetId="4" hidden="1">'SAH-5 (Public)'!$A$6:$J$6</definedName>
    <definedName name="Z_6A3667D9_41A3_4F3E_890C_A8E9EDBA5F0E_.wvu.FilterData" localSheetId="8" hidden="1">'SAH-9 (Public)'!$A$6:$M$6</definedName>
    <definedName name="Z_6A3667D9_41A3_4F3E_890C_A8E9EDBA5F0E_.wvu.PrintTitles" localSheetId="4" hidden="1">'SAH-5 (Public)'!$6:$6</definedName>
    <definedName name="Z_6A3667D9_41A3_4F3E_890C_A8E9EDBA5F0E_.wvu.PrintTitles" localSheetId="8" hidden="1">'SAH-9 (Public)'!$6:$6</definedName>
    <definedName name="Z_6A3E2B95_4729_4F53_A30A_D54E0F8F4565_.wvu.FilterData" localSheetId="3" hidden="1">'SAH-4 (Public)'!$A$6:$N$6</definedName>
    <definedName name="Z_6A3E2B95_4729_4F53_A30A_D54E0F8F4565_.wvu.FilterData" localSheetId="4" hidden="1">'SAH-5 (Public)'!$A$6:$J$6</definedName>
    <definedName name="Z_6A3E2B95_4729_4F53_A30A_D54E0F8F4565_.wvu.FilterData" localSheetId="5" hidden="1">'SAH-6 (Public)'!$A$6:$J$6</definedName>
    <definedName name="Z_6A3E2B95_4729_4F53_A30A_D54E0F8F4565_.wvu.FilterData" localSheetId="6" hidden="1">'SAH-7 (Public)'!$A$6:$J$6</definedName>
    <definedName name="Z_6A3E2B95_4729_4F53_A30A_D54E0F8F4565_.wvu.FilterData" localSheetId="8" hidden="1">'SAH-9 (Public)'!$A$6:$CI$6</definedName>
    <definedName name="Z_6A3E2B95_4729_4F53_A30A_D54E0F8F4565_.wvu.PrintArea" localSheetId="4" hidden="1">'SAH-5 (Public)'!$A$1:$J$6</definedName>
    <definedName name="Z_6A3E2B95_4729_4F53_A30A_D54E0F8F4565_.wvu.PrintArea" localSheetId="5" hidden="1">'SAH-6 (Public)'!$A$1:$J$6</definedName>
    <definedName name="Z_6A3E2B95_4729_4F53_A30A_D54E0F8F4565_.wvu.PrintArea" localSheetId="8" hidden="1">'SAH-9 (Public)'!$A$1:$J$6</definedName>
    <definedName name="Z_6A3E2B95_4729_4F53_A30A_D54E0F8F4565_.wvu.PrintTitles" localSheetId="3" hidden="1">'SAH-4 (Public)'!$1:$6</definedName>
    <definedName name="Z_6A3E2B95_4729_4F53_A30A_D54E0F8F4565_.wvu.PrintTitles" localSheetId="4" hidden="1">'SAH-5 (Public)'!$1:$6</definedName>
    <definedName name="Z_6A3E2B95_4729_4F53_A30A_D54E0F8F4565_.wvu.PrintTitles" localSheetId="5" hidden="1">'SAH-6 (Public)'!$1:$6</definedName>
    <definedName name="Z_6A3E2B95_4729_4F53_A30A_D54E0F8F4565_.wvu.PrintTitles" localSheetId="6" hidden="1">'SAH-7 (Public)'!$1:$6</definedName>
    <definedName name="Z_6A3E2B95_4729_4F53_A30A_D54E0F8F4565_.wvu.PrintTitles" localSheetId="8" hidden="1">'SAH-9 (Public)'!$1:$6</definedName>
    <definedName name="Z_6A5B0A6B_C5DF_40E4_8894_67D7F7FE36DF_.wvu.FilterData" localSheetId="4" hidden="1">'SAH-5 (Public)'!$A$6:$J$6</definedName>
    <definedName name="Z_6A5B0A6B_C5DF_40E4_8894_67D7F7FE36DF_.wvu.FilterData" localSheetId="6" hidden="1">'SAH-7 (Public)'!$A$6:$J$6</definedName>
    <definedName name="Z_6A5B0A6B_C5DF_40E4_8894_67D7F7FE36DF_.wvu.PrintArea" localSheetId="4" hidden="1">'SAH-5 (Public)'!$A$1:$J$6</definedName>
    <definedName name="Z_6A5B0A6B_C5DF_40E4_8894_67D7F7FE36DF_.wvu.PrintArea" localSheetId="6" hidden="1">'SAH-7 (Public)'!$A$1:$J$6</definedName>
    <definedName name="Z_6A5B0A6B_C5DF_40E4_8894_67D7F7FE36DF_.wvu.PrintTitles" localSheetId="4" hidden="1">'SAH-5 (Public)'!$6:$6</definedName>
    <definedName name="Z_6A635895_654B_46EC_86BA_9565D4EF4C1A_.wvu.FilterData" localSheetId="3" hidden="1">'SAH-4 (Public)'!$A$6:$N$6</definedName>
    <definedName name="Z_6DFC6E4D_D871_494C_AE8A_3ED6D2803BCF_.wvu.FilterData" localSheetId="8" hidden="1">'SAH-9 (Public)'!$A$6:$J$6</definedName>
    <definedName name="Z_70418454_1D21_4A66_BC2A_1B6D74ABF025_.wvu.FilterData" localSheetId="6" hidden="1">'SAH-7 (Public)'!$A$6:$J$6</definedName>
    <definedName name="Z_70418454_1D21_4A66_BC2A_1B6D74ABF025_.wvu.PrintArea" localSheetId="6" hidden="1">'SAH-7 (Public)'!$A$1:$J$6</definedName>
    <definedName name="Z_713DE1D3_083E_4D15_80B2_1FC8A9DC4798_.wvu.FilterData" localSheetId="4" hidden="1">'SAH-5 (Public)'!$A$6:$J$6</definedName>
    <definedName name="Z_713DE1D3_083E_4D15_80B2_1FC8A9DC4798_.wvu.FilterData" localSheetId="8" hidden="1">'SAH-9 (Public)'!$A$6:$J$6</definedName>
    <definedName name="Z_7226F521_829C_4A75_86D0_125E6B5C9266_.wvu.FilterData" localSheetId="4" hidden="1">'SAH-5 (Public)'!$A$6:$J$6</definedName>
    <definedName name="Z_7226F521_829C_4A75_86D0_125E6B5C9266_.wvu.FilterData" localSheetId="5" hidden="1">'SAH-6 (Public)'!$A$6:$J$6</definedName>
    <definedName name="Z_74D41B18_0179_48F6_9B8B_46BB73363E9B_.wvu.PrintArea" localSheetId="3" hidden="1">'SAH-4 (Public)'!$A$1:$A$5</definedName>
    <definedName name="Z_74D41B18_0179_48F6_9B8B_46BB73363E9B_.wvu.PrintArea" localSheetId="4" hidden="1">'SAH-5 (Public)'!$A$1:$A$5</definedName>
    <definedName name="Z_74D41B18_0179_48F6_9B8B_46BB73363E9B_.wvu.PrintArea" localSheetId="5" hidden="1">'SAH-6 (Public)'!$A$1:$C$6</definedName>
    <definedName name="Z_74D41B18_0179_48F6_9B8B_46BB73363E9B_.wvu.PrintArea" localSheetId="6" hidden="1">'SAH-7 (Public)'!$A$1:$A$5</definedName>
    <definedName name="Z_74D41B18_0179_48F6_9B8B_46BB73363E9B_.wvu.PrintArea" localSheetId="8" hidden="1">'SAH-9 (Public)'!$A$1:$A$6</definedName>
    <definedName name="Z_74D41B18_0179_48F6_9B8B_46BB73363E9B_.wvu.PrintTitles" localSheetId="3" hidden="1">'SAH-4 (Public)'!$1:$5</definedName>
    <definedName name="Z_74D41B18_0179_48F6_9B8B_46BB73363E9B_.wvu.PrintTitles" localSheetId="4" hidden="1">'SAH-5 (Public)'!$1:$5</definedName>
    <definedName name="Z_74D41B18_0179_48F6_9B8B_46BB73363E9B_.wvu.PrintTitles" localSheetId="5" hidden="1">'SAH-6 (Public)'!$1:$6</definedName>
    <definedName name="Z_74D41B18_0179_48F6_9B8B_46BB73363E9B_.wvu.PrintTitles" localSheetId="6" hidden="1">'SAH-7 (Public)'!$1:$5</definedName>
    <definedName name="Z_74D41B18_0179_48F6_9B8B_46BB73363E9B_.wvu.PrintTitles" localSheetId="8" hidden="1">'SAH-9 (Public)'!$1:$6</definedName>
    <definedName name="Z_750DA2EB_0709_4766_A4DD_CACD162E2F9F_.wvu.FilterData" localSheetId="8" hidden="1">'SAH-9 (Public)'!$A$6:$J$6</definedName>
    <definedName name="Z_75E68DDD_EC2C_489E_BF96_8B3DB8AF6BDA_.wvu.FilterData" localSheetId="3" hidden="1">'SAH-4 (Public)'!$A$6:$J$6</definedName>
    <definedName name="Z_76359663_457F_4FAA_8080_88A7B6995B84_.wvu.Cols" localSheetId="3" hidden="1">'SAH-4 (Public)'!#REF!,'SAH-4 (Public)'!#REF!</definedName>
    <definedName name="Z_76359663_457F_4FAA_8080_88A7B6995B84_.wvu.FilterData" localSheetId="3" hidden="1">'SAH-4 (Public)'!$A$6:$J$6</definedName>
    <definedName name="Z_76359663_457F_4FAA_8080_88A7B6995B84_.wvu.PrintTitles" localSheetId="3" hidden="1">'SAH-4 (Public)'!$6:$6</definedName>
    <definedName name="Z_76BD454F_BA7B_4E0F_8571_A01D3043351D_.wvu.FilterData" localSheetId="8" hidden="1">'SAH-9 (Public)'!$A$6:$J$6</definedName>
    <definedName name="Z_770F32B2_941F_4C5C_84A7_74B73E41B7D3_.wvu.Cols" localSheetId="3" hidden="1">'SAH-4 (Public)'!#REF!,'SAH-4 (Public)'!#REF!,'SAH-4 (Public)'!#REF!</definedName>
    <definedName name="Z_770F32B2_941F_4C5C_84A7_74B73E41B7D3_.wvu.Cols" localSheetId="4" hidden="1">'SAH-5 (Public)'!#REF!,'SAH-5 (Public)'!#REF!,'SAH-5 (Public)'!#REF!,'SAH-5 (Public)'!#REF!</definedName>
    <definedName name="Z_770F32B2_941F_4C5C_84A7_74B73E41B7D3_.wvu.Cols" localSheetId="5" hidden="1">'SAH-6 (Public)'!#REF!,'SAH-6 (Public)'!#REF!,'SAH-6 (Public)'!#REF!</definedName>
    <definedName name="Z_770F32B2_941F_4C5C_84A7_74B73E41B7D3_.wvu.Cols" localSheetId="6" hidden="1">'SAH-7 (Public)'!#REF!,'SAH-7 (Public)'!#REF!,'SAH-7 (Public)'!#REF!,'SAH-7 (Public)'!#REF!</definedName>
    <definedName name="Z_770F32B2_941F_4C5C_84A7_74B73E41B7D3_.wvu.Cols" localSheetId="8" hidden="1">'SAH-9 (Public)'!#REF!</definedName>
    <definedName name="Z_770F32B2_941F_4C5C_84A7_74B73E41B7D3_.wvu.FilterData" localSheetId="3" hidden="1">'SAH-4 (Public)'!$A$6:$J$6</definedName>
    <definedName name="Z_770F32B2_941F_4C5C_84A7_74B73E41B7D3_.wvu.FilterData" localSheetId="4" hidden="1">'SAH-5 (Public)'!$A$6:$J$6</definedName>
    <definedName name="Z_770F32B2_941F_4C5C_84A7_74B73E41B7D3_.wvu.FilterData" localSheetId="5" hidden="1">'SAH-6 (Public)'!$A$6:$J$6</definedName>
    <definedName name="Z_770F32B2_941F_4C5C_84A7_74B73E41B7D3_.wvu.FilterData" localSheetId="6" hidden="1">'SAH-7 (Public)'!$A$6:$J$6</definedName>
    <definedName name="Z_770F32B2_941F_4C5C_84A7_74B73E41B7D3_.wvu.FilterData" localSheetId="8" hidden="1">'SAH-9 (Public)'!$A$6:$J$6</definedName>
    <definedName name="Z_770F32B2_941F_4C5C_84A7_74B73E41B7D3_.wvu.PrintArea" localSheetId="3" hidden="1">'SAH-4 (Public)'!$A$1:$J$6</definedName>
    <definedName name="Z_770F32B2_941F_4C5C_84A7_74B73E41B7D3_.wvu.PrintArea" localSheetId="4" hidden="1">'SAH-5 (Public)'!$A$1:$J$6</definedName>
    <definedName name="Z_770F32B2_941F_4C5C_84A7_74B73E41B7D3_.wvu.PrintArea" localSheetId="5" hidden="1">'SAH-6 (Public)'!$A$1:$J$6</definedName>
    <definedName name="Z_770F32B2_941F_4C5C_84A7_74B73E41B7D3_.wvu.PrintArea" localSheetId="6" hidden="1">'SAH-7 (Public)'!$A$1:$J$6</definedName>
    <definedName name="Z_770F32B2_941F_4C5C_84A7_74B73E41B7D3_.wvu.PrintArea" localSheetId="8" hidden="1">'SAH-9 (Public)'!$A$1:$J$6</definedName>
    <definedName name="Z_770F32B2_941F_4C5C_84A7_74B73E41B7D3_.wvu.PrintTitles" localSheetId="3" hidden="1">'SAH-4 (Public)'!$6:$6</definedName>
    <definedName name="Z_770F32B2_941F_4C5C_84A7_74B73E41B7D3_.wvu.PrintTitles" localSheetId="4" hidden="1">'SAH-5 (Public)'!$6:$6</definedName>
    <definedName name="Z_770F32B2_941F_4C5C_84A7_74B73E41B7D3_.wvu.PrintTitles" localSheetId="5" hidden="1">'SAH-6 (Public)'!$6:$6</definedName>
    <definedName name="Z_770F32B2_941F_4C5C_84A7_74B73E41B7D3_.wvu.PrintTitles" localSheetId="8" hidden="1">'SAH-9 (Public)'!$6:$6</definedName>
    <definedName name="Z_770F32B2_941F_4C5C_84A7_74B73E41B7D3_.wvu.Rows" localSheetId="5" hidden="1">'SAH-6 (Public)'!#REF!</definedName>
    <definedName name="Z_789E1E1E_8F66_49AC_8DE2_621D77CBFCC8_.wvu.FilterData" localSheetId="4" hidden="1">'SAH-5 (Public)'!$A$6:$J$6</definedName>
    <definedName name="Z_792B1D99_3553_4675_B9B4_4A2642902096_.wvu.FilterData" localSheetId="4" hidden="1">'SAH-5 (Public)'!$A$6:$J$6</definedName>
    <definedName name="Z_7AFA5FB7_0F52_4D82_A58E_05F38D532A99_.wvu.Cols" localSheetId="3" hidden="1">'SAH-4 (Public)'!#REF!,'SAH-4 (Public)'!#REF!</definedName>
    <definedName name="Z_7AFA5FB7_0F52_4D82_A58E_05F38D532A99_.wvu.FilterData" localSheetId="3" hidden="1">'SAH-4 (Public)'!$A$6:$N$6</definedName>
    <definedName name="Z_7AFA5FB7_0F52_4D82_A58E_05F38D532A99_.wvu.FilterData" localSheetId="4" hidden="1">'SAH-5 (Public)'!$A$6:$J$6</definedName>
    <definedName name="Z_7AFA5FB7_0F52_4D82_A58E_05F38D532A99_.wvu.FilterData" localSheetId="5" hidden="1">'SAH-6 (Public)'!$A$6:$J$6</definedName>
    <definedName name="Z_7AFA5FB7_0F52_4D82_A58E_05F38D532A99_.wvu.FilterData" localSheetId="8" hidden="1">'SAH-9 (Public)'!$A$6:$J$6</definedName>
    <definedName name="Z_7AFA5FB7_0F52_4D82_A58E_05F38D532A99_.wvu.PrintTitles" localSheetId="3" hidden="1">'SAH-4 (Public)'!$6:$6</definedName>
    <definedName name="Z_7AFA5FB7_0F52_4D82_A58E_05F38D532A99_.wvu.PrintTitles" localSheetId="4" hidden="1">'SAH-5 (Public)'!$6:$6</definedName>
    <definedName name="Z_7AFA5FB7_0F52_4D82_A58E_05F38D532A99_.wvu.PrintTitles" localSheetId="5" hidden="1">'SAH-6 (Public)'!$6:$6</definedName>
    <definedName name="Z_7AFA5FB7_0F52_4D82_A58E_05F38D532A99_.wvu.PrintTitles" localSheetId="8" hidden="1">'SAH-9 (Public)'!$6:$6</definedName>
    <definedName name="Z_7BA1B0D2_6CB8_44D4_88F9_DA6488F8E73C_.wvu.FilterData" localSheetId="8" hidden="1">'SAH-9 (Public)'!$A$6:$M$6</definedName>
    <definedName name="Z_7C020518_142C_46BB_A37E_7A9E14AC1CE8_.wvu.FilterData" localSheetId="8" hidden="1">'SAH-9 (Public)'!$A$6:$J$6</definedName>
    <definedName name="Z_7C020518_142C_46BB_A37E_7A9E14AC1CE8_.wvu.PrintArea" localSheetId="8" hidden="1">'SAH-9 (Public)'!$A$1:$J$6</definedName>
    <definedName name="Z_7C020518_142C_46BB_A37E_7A9E14AC1CE8_.wvu.PrintTitles" localSheetId="8" hidden="1">'SAH-9 (Public)'!$6:$6</definedName>
    <definedName name="Z_7D27821A_745D_4A43_8769_D3A9FACB522A_.wvu.FilterData" localSheetId="8" hidden="1">'SAH-9 (Public)'!$A$6:$J$6</definedName>
    <definedName name="Z_7D3C42DD_0A71_4CF6_817F_6E60192D49E7_.wvu.FilterData" localSheetId="8" hidden="1">'SAH-9 (Public)'!$A$6:$J$6</definedName>
    <definedName name="Z_7D3C42DD_0A71_4CF6_817F_6E60192D49E7_.wvu.PrintArea" localSheetId="8" hidden="1">'SAH-9 (Public)'!$A$1:$J$6</definedName>
    <definedName name="Z_7D3C42DD_0A71_4CF6_817F_6E60192D49E7_.wvu.PrintTitles" localSheetId="8" hidden="1">'SAH-9 (Public)'!$6:$6</definedName>
    <definedName name="Z_7D9CD293_F3AC_4BCF_B457_6D80C35DCE11_.wvu.Cols" localSheetId="3" hidden="1">'SAH-4 (Public)'!#REF!,'SAH-4 (Public)'!#REF!</definedName>
    <definedName name="Z_7D9CD293_F3AC_4BCF_B457_6D80C35DCE11_.wvu.Cols" localSheetId="4" hidden="1">'SAH-5 (Public)'!#REF!,'SAH-5 (Public)'!#REF!,'SAH-5 (Public)'!#REF!</definedName>
    <definedName name="Z_7D9CD293_F3AC_4BCF_B457_6D80C35DCE11_.wvu.Cols" localSheetId="5" hidden="1">'SAH-6 (Public)'!#REF!,'SAH-6 (Public)'!#REF!</definedName>
    <definedName name="Z_7D9CD293_F3AC_4BCF_B457_6D80C35DCE11_.wvu.Cols" localSheetId="6" hidden="1">'SAH-7 (Public)'!#REF!,'SAH-7 (Public)'!#REF!,'SAH-7 (Public)'!#REF!</definedName>
    <definedName name="Z_7D9CD293_F3AC_4BCF_B457_6D80C35DCE11_.wvu.FilterData" localSheetId="3" hidden="1">'SAH-4 (Public)'!$A$6:$J$6</definedName>
    <definedName name="Z_7D9CD293_F3AC_4BCF_B457_6D80C35DCE11_.wvu.FilterData" localSheetId="4" hidden="1">'SAH-5 (Public)'!$A$6:$J$6</definedName>
    <definedName name="Z_7D9CD293_F3AC_4BCF_B457_6D80C35DCE11_.wvu.FilterData" localSheetId="5" hidden="1">'SAH-6 (Public)'!$A$6:$J$6</definedName>
    <definedName name="Z_7D9CD293_F3AC_4BCF_B457_6D80C35DCE11_.wvu.FilterData" localSheetId="6" hidden="1">'SAH-7 (Public)'!$A$6:$H$6</definedName>
    <definedName name="Z_7D9CD293_F3AC_4BCF_B457_6D80C35DCE11_.wvu.FilterData" localSheetId="8" hidden="1">'SAH-9 (Public)'!$A$6:$J$6</definedName>
    <definedName name="Z_7D9CD293_F3AC_4BCF_B457_6D80C35DCE11_.wvu.PrintArea" localSheetId="3" hidden="1">'SAH-4 (Public)'!$A$1:$J$6</definedName>
    <definedName name="Z_7D9CD293_F3AC_4BCF_B457_6D80C35DCE11_.wvu.PrintArea" localSheetId="4" hidden="1">'SAH-5 (Public)'!$A$1:$J$6</definedName>
    <definedName name="Z_7D9CD293_F3AC_4BCF_B457_6D80C35DCE11_.wvu.PrintArea" localSheetId="5" hidden="1">'SAH-6 (Public)'!$A$1:$J$6</definedName>
    <definedName name="Z_7D9CD293_F3AC_4BCF_B457_6D80C35DCE11_.wvu.PrintArea" localSheetId="6" hidden="1">'SAH-7 (Public)'!$A$1:$J$6</definedName>
    <definedName name="Z_7D9CD293_F3AC_4BCF_B457_6D80C35DCE11_.wvu.PrintArea" localSheetId="8" hidden="1">'SAH-9 (Public)'!$A$1:$J$6</definedName>
    <definedName name="Z_7D9CD293_F3AC_4BCF_B457_6D80C35DCE11_.wvu.PrintTitles" localSheetId="3" hidden="1">'SAH-4 (Public)'!$6:$6</definedName>
    <definedName name="Z_7D9CD293_F3AC_4BCF_B457_6D80C35DCE11_.wvu.PrintTitles" localSheetId="4" hidden="1">'SAH-5 (Public)'!$6:$6</definedName>
    <definedName name="Z_7D9CD293_F3AC_4BCF_B457_6D80C35DCE11_.wvu.PrintTitles" localSheetId="5" hidden="1">'SAH-6 (Public)'!$6:$6</definedName>
    <definedName name="Z_7D9CD293_F3AC_4BCF_B457_6D80C35DCE11_.wvu.PrintTitles" localSheetId="8" hidden="1">'SAH-9 (Public)'!$6:$6</definedName>
    <definedName name="Z_7D9CD293_F3AC_4BCF_B457_6D80C35DCE11_.wvu.Rows" localSheetId="3" hidden="1">'SAH-4 (Public)'!#REF!</definedName>
    <definedName name="Z_7D9CD293_F3AC_4BCF_B457_6D80C35DCE11_.wvu.Rows" localSheetId="5" hidden="1">'SAH-6 (Public)'!#REF!</definedName>
    <definedName name="Z_7E2F67A8_3F99_4BCE_8343_574C5B37D35A_.wvu.FilterData" localSheetId="8" hidden="1">'SAH-9 (Public)'!$A$6:$J$6</definedName>
    <definedName name="Z_7E51794A_9736_4514_99C3_22D2CACDF78A_.wvu.Cols" localSheetId="3" hidden="1">'SAH-4 (Public)'!#REF!,'SAH-4 (Public)'!#REF!,'SAH-4 (Public)'!#REF!,'SAH-4 (Public)'!#REF!,'SAH-4 (Public)'!#REF!</definedName>
    <definedName name="Z_7E51794A_9736_4514_99C3_22D2CACDF78A_.wvu.Cols" localSheetId="4" hidden="1">'SAH-5 (Public)'!#REF!,'SAH-5 (Public)'!#REF!,'SAH-5 (Public)'!#REF!,'SAH-5 (Public)'!#REF!,'SAH-5 (Public)'!#REF!,'SAH-5 (Public)'!#REF!</definedName>
    <definedName name="Z_7E51794A_9736_4514_99C3_22D2CACDF78A_.wvu.Cols" localSheetId="5" hidden="1">'SAH-6 (Public)'!#REF!,'SAH-6 (Public)'!#REF!,'SAH-6 (Public)'!#REF!,'SAH-6 (Public)'!#REF!</definedName>
    <definedName name="Z_7E51794A_9736_4514_99C3_22D2CACDF78A_.wvu.Cols" localSheetId="8" hidden="1">'SAH-9 (Public)'!#REF!,'SAH-9 (Public)'!#REF!,'SAH-9 (Public)'!#REF!,'SAH-9 (Public)'!#REF!,'SAH-9 (Public)'!#REF!,'SAH-9 (Public)'!#REF!</definedName>
    <definedName name="Z_7E51794A_9736_4514_99C3_22D2CACDF78A_.wvu.FilterData" localSheetId="3" hidden="1">'SAH-4 (Public)'!$A$6:$N$6</definedName>
    <definedName name="Z_7E51794A_9736_4514_99C3_22D2CACDF78A_.wvu.FilterData" localSheetId="4" hidden="1">'SAH-5 (Public)'!$A$6:$J$6</definedName>
    <definedName name="Z_7E51794A_9736_4514_99C3_22D2CACDF78A_.wvu.FilterData" localSheetId="5" hidden="1">'SAH-6 (Public)'!$A$6:$J$6</definedName>
    <definedName name="Z_7E51794A_9736_4514_99C3_22D2CACDF78A_.wvu.FilterData" localSheetId="8" hidden="1">'SAH-9 (Public)'!$A$6:$M$6</definedName>
    <definedName name="Z_7E51794A_9736_4514_99C3_22D2CACDF78A_.wvu.PrintTitles" localSheetId="3" hidden="1">'SAH-4 (Public)'!$6:$6</definedName>
    <definedName name="Z_7E51794A_9736_4514_99C3_22D2CACDF78A_.wvu.PrintTitles" localSheetId="4" hidden="1">'SAH-5 (Public)'!$6:$6</definedName>
    <definedName name="Z_7E51794A_9736_4514_99C3_22D2CACDF78A_.wvu.PrintTitles" localSheetId="5" hidden="1">'SAH-6 (Public)'!$6:$6</definedName>
    <definedName name="Z_7E51794A_9736_4514_99C3_22D2CACDF78A_.wvu.PrintTitles" localSheetId="8" hidden="1">'SAH-9 (Public)'!$6:$6</definedName>
    <definedName name="Z_7E57687B_FA46_4AA5_9716_07BC69C1886B_.wvu.FilterData" localSheetId="3" hidden="1">'SAH-4 (Public)'!$A$6:$J$6</definedName>
    <definedName name="Z_7E57687B_FA46_4AA5_9716_07BC69C1886B_.wvu.FilterData" localSheetId="5" hidden="1">'SAH-6 (Public)'!$A$6:$J$6</definedName>
    <definedName name="Z_80439EC8_6FBF_428E_BC94_688AFDD69B3D_.wvu.FilterData" localSheetId="8" hidden="1">'SAH-9 (Public)'!$A$6:$J$6</definedName>
    <definedName name="Z_80B260B9_DEBA_4629_97E2_E24D2C8F8A71_.wvu.FilterData" localSheetId="5" hidden="1">'SAH-6 (Public)'!$A$6:$J$6</definedName>
    <definedName name="Z_80B260B9_DEBA_4629_97E2_E24D2C8F8A71_.wvu.PrintArea" localSheetId="5" hidden="1">'SAH-6 (Public)'!$A$1:$J$6</definedName>
    <definedName name="Z_80B260B9_DEBA_4629_97E2_E24D2C8F8A71_.wvu.PrintTitles" localSheetId="5" hidden="1">'SAH-6 (Public)'!$6:$6</definedName>
    <definedName name="Z_83040736_D925_4E1C_B997_92DB4AB33CB8_.wvu.Cols" localSheetId="3" hidden="1">'SAH-4 (Public)'!#REF!,'SAH-4 (Public)'!#REF!</definedName>
    <definedName name="Z_83040736_D925_4E1C_B997_92DB4AB33CB8_.wvu.FilterData" localSheetId="3" hidden="1">'SAH-4 (Public)'!$A$6:$J$6</definedName>
    <definedName name="Z_83040736_D925_4E1C_B997_92DB4AB33CB8_.wvu.PrintTitles" localSheetId="3" hidden="1">'SAH-4 (Public)'!$6:$6</definedName>
    <definedName name="Z_8377DC05_AB57_4ED1_A558_5ACC0DF943F5_.wvu.FilterData" localSheetId="8" hidden="1">'SAH-9 (Public)'!$A$6:$J$6</definedName>
    <definedName name="Z_84EFEE9A_1E64_46FF_9FC2_4B0EDE56DAAC_.wvu.FilterData" localSheetId="8" hidden="1">'SAH-9 (Public)'!$A$6:$M$6</definedName>
    <definedName name="Z_8503A9A5_A281_4025_A8E7_8DFB56637712_.wvu.Cols" localSheetId="3" hidden="1">'SAH-4 (Public)'!#REF!,'SAH-4 (Public)'!#REF!</definedName>
    <definedName name="Z_8503A9A5_A281_4025_A8E7_8DFB56637712_.wvu.FilterData" localSheetId="3" hidden="1">'SAH-4 (Public)'!$A$6:$J$6</definedName>
    <definedName name="Z_8503A9A5_A281_4025_A8E7_8DFB56637712_.wvu.PrintTitles" localSheetId="3" hidden="1">'SAH-4 (Public)'!$6:$6</definedName>
    <definedName name="Z_8535C76E_A8E4_4915_883A_E4C752219F3C_.wvu.FilterData" localSheetId="3" hidden="1">'SAH-4 (Public)'!$A$6:$J$6</definedName>
    <definedName name="Z_8535C76E_A8E4_4915_883A_E4C752219F3C_.wvu.FilterData" localSheetId="4" hidden="1">'SAH-5 (Public)'!$A$6:$J$6</definedName>
    <definedName name="Z_8535C76E_A8E4_4915_883A_E4C752219F3C_.wvu.FilterData" localSheetId="6" hidden="1">'SAH-7 (Public)'!$A$6:$J$6</definedName>
    <definedName name="Z_8535C76E_A8E4_4915_883A_E4C752219F3C_.wvu.FilterData" localSheetId="8" hidden="1">'SAH-9 (Public)'!$A$6:$J$6</definedName>
    <definedName name="Z_871B2EAD_24F6_4209_9DD9_D42ACD64F7E9_.wvu.FilterData" localSheetId="4" hidden="1">'SAH-5 (Public)'!$A$6:$J$6</definedName>
    <definedName name="Z_874AF352_28DD_4975_9F1F_9748A4FB7191_.wvu.FilterData" localSheetId="8" hidden="1">'SAH-9 (Public)'!$A$6:$J$6</definedName>
    <definedName name="Z_874AF352_28DD_4975_9F1F_9748A4FB7191_.wvu.PrintArea" localSheetId="8" hidden="1">'SAH-9 (Public)'!$A$1:$J$6</definedName>
    <definedName name="Z_874AF352_28DD_4975_9F1F_9748A4FB7191_.wvu.PrintTitles" localSheetId="8" hidden="1">'SAH-9 (Public)'!$6:$6</definedName>
    <definedName name="Z_87877E14_A7FB_4E9F_8029_E52C80F12451_.wvu.Cols" localSheetId="3" hidden="1">'SAH-4 (Public)'!#REF!,'SAH-4 (Public)'!#REF!,'SAH-4 (Public)'!#REF!</definedName>
    <definedName name="Z_87877E14_A7FB_4E9F_8029_E52C80F12451_.wvu.Cols" localSheetId="4" hidden="1">'SAH-5 (Public)'!#REF!,'SAH-5 (Public)'!#REF!,'SAH-5 (Public)'!#REF!,'SAH-5 (Public)'!#REF!</definedName>
    <definedName name="Z_87877E14_A7FB_4E9F_8029_E52C80F12451_.wvu.Cols" localSheetId="5" hidden="1">'SAH-6 (Public)'!#REF!,'SAH-6 (Public)'!#REF!,'SAH-6 (Public)'!#REF!,'SAH-6 (Public)'!#REF!,'SAH-6 (Public)'!#REF!,'SAH-6 (Public)'!#REF!,'SAH-6 (Public)'!#REF!</definedName>
    <definedName name="Z_87877E14_A7FB_4E9F_8029_E52C80F12451_.wvu.Cols" localSheetId="8" hidden="1">'SAH-9 (Public)'!#REF!,'SAH-9 (Public)'!#REF!,'SAH-9 (Public)'!#REF!,'SAH-9 (Public)'!#REF!,'SAH-9 (Public)'!#REF!,'SAH-9 (Public)'!#REF!</definedName>
    <definedName name="Z_87877E14_A7FB_4E9F_8029_E52C80F12451_.wvu.FilterData" localSheetId="3" hidden="1">'SAH-4 (Public)'!$A$6:$N$6</definedName>
    <definedName name="Z_87877E14_A7FB_4E9F_8029_E52C80F12451_.wvu.FilterData" localSheetId="4" hidden="1">'SAH-5 (Public)'!$A$6:$J$6</definedName>
    <definedName name="Z_87877E14_A7FB_4E9F_8029_E52C80F12451_.wvu.FilterData" localSheetId="5" hidden="1">'SAH-6 (Public)'!$A$6:$J$6</definedName>
    <definedName name="Z_87877E14_A7FB_4E9F_8029_E52C80F12451_.wvu.FilterData" localSheetId="8" hidden="1">'SAH-9 (Public)'!$A$6:$M$6</definedName>
    <definedName name="Z_87877E14_A7FB_4E9F_8029_E52C80F12451_.wvu.PrintTitles" localSheetId="3" hidden="1">'SAH-4 (Public)'!$6:$6</definedName>
    <definedName name="Z_87877E14_A7FB_4E9F_8029_E52C80F12451_.wvu.PrintTitles" localSheetId="4" hidden="1">'SAH-5 (Public)'!$6:$6</definedName>
    <definedName name="Z_87877E14_A7FB_4E9F_8029_E52C80F12451_.wvu.PrintTitles" localSheetId="5" hidden="1">'SAH-6 (Public)'!$6:$6</definedName>
    <definedName name="Z_87877E14_A7FB_4E9F_8029_E52C80F12451_.wvu.PrintTitles" localSheetId="8" hidden="1">'SAH-9 (Public)'!$6:$6</definedName>
    <definedName name="Z_88EC695F_D177_4780_B713_DB376FA77BF8_.wvu.FilterData" localSheetId="3" hidden="1">'SAH-4 (Public)'!$A$6:$J$6</definedName>
    <definedName name="Z_8931B744_3A95_4495_BC96_CC70F5200F8A_.wvu.FilterData" localSheetId="8" hidden="1">'SAH-9 (Public)'!$A$6:$G$6</definedName>
    <definedName name="Z_8931B744_3A95_4495_BC96_CC70F5200F8A_.wvu.PrintArea" localSheetId="8" hidden="1">'SAH-9 (Public)'!$A$1:$G$6</definedName>
    <definedName name="Z_8931B744_3A95_4495_BC96_CC70F5200F8A_.wvu.PrintTitles" localSheetId="8" hidden="1">'SAH-9 (Public)'!$6:$6</definedName>
    <definedName name="Z_8959C96E_68B5_48FE_8515_86D3ED718A0F_.wvu.FilterData" localSheetId="8" hidden="1">'SAH-9 (Public)'!$A$6:$J$6</definedName>
    <definedName name="Z_8959C96E_68B5_48FE_8515_86D3ED718A0F_.wvu.PrintArea" localSheetId="8" hidden="1">'SAH-9 (Public)'!$A$1:$J$6</definedName>
    <definedName name="Z_8959C96E_68B5_48FE_8515_86D3ED718A0F_.wvu.PrintTitles" localSheetId="8" hidden="1">'SAH-9 (Public)'!$6:$6</definedName>
    <definedName name="Z_8ACE2788_EF53_458E_9B08_74DF5F598EA0_.wvu.FilterData" localSheetId="3" hidden="1">'SAH-4 (Public)'!$A$6:$J$6</definedName>
    <definedName name="Z_8ACE2788_EF53_458E_9B08_74DF5F598EA0_.wvu.FilterData" localSheetId="4" hidden="1">'SAH-5 (Public)'!$A$6:$J$6</definedName>
    <definedName name="Z_8ACE2788_EF53_458E_9B08_74DF5F598EA0_.wvu.FilterData" localSheetId="5" hidden="1">'SAH-6 (Public)'!$A$6:$J$6</definedName>
    <definedName name="Z_8ACE2788_EF53_458E_9B08_74DF5F598EA0_.wvu.FilterData" localSheetId="6" hidden="1">'SAH-7 (Public)'!$A$6:$J$6</definedName>
    <definedName name="Z_8ACE2788_EF53_458E_9B08_74DF5F598EA0_.wvu.FilterData" localSheetId="8" hidden="1">'SAH-9 (Public)'!$A$6:$J$6</definedName>
    <definedName name="Z_8ACE2788_EF53_458E_9B08_74DF5F598EA0_.wvu.PrintArea" localSheetId="3" hidden="1">'SAH-4 (Public)'!$A$1:$J$6</definedName>
    <definedName name="Z_8ACE2788_EF53_458E_9B08_74DF5F598EA0_.wvu.PrintArea" localSheetId="4" hidden="1">'SAH-5 (Public)'!$A$1:$J$6</definedName>
    <definedName name="Z_8ACE2788_EF53_458E_9B08_74DF5F598EA0_.wvu.PrintArea" localSheetId="5" hidden="1">'SAH-6 (Public)'!$A$1:$J$6</definedName>
    <definedName name="Z_8ACE2788_EF53_458E_9B08_74DF5F598EA0_.wvu.PrintArea" localSheetId="6" hidden="1">'SAH-7 (Public)'!$A$1:$J$6</definedName>
    <definedName name="Z_8ACE2788_EF53_458E_9B08_74DF5F598EA0_.wvu.PrintArea" localSheetId="8" hidden="1">'SAH-9 (Public)'!$A$1:$J$6</definedName>
    <definedName name="Z_8ACE2788_EF53_458E_9B08_74DF5F598EA0_.wvu.PrintTitles" localSheetId="3" hidden="1">'SAH-4 (Public)'!$6:$6</definedName>
    <definedName name="Z_8ACE2788_EF53_458E_9B08_74DF5F598EA0_.wvu.PrintTitles" localSheetId="4" hidden="1">'SAH-5 (Public)'!$6:$6</definedName>
    <definedName name="Z_8ACE2788_EF53_458E_9B08_74DF5F598EA0_.wvu.PrintTitles" localSheetId="5" hidden="1">'SAH-6 (Public)'!$6:$6</definedName>
    <definedName name="Z_8ACE2788_EF53_458E_9B08_74DF5F598EA0_.wvu.PrintTitles" localSheetId="8" hidden="1">'SAH-9 (Public)'!$6:$6</definedName>
    <definedName name="Z_8AE1087E_B1F5_4DF2_A734_B38CDA17FD36_.wvu.FilterData" localSheetId="8" hidden="1">'SAH-9 (Public)'!$A$6:$J$6</definedName>
    <definedName name="Z_8B041A93_E759_4F1F_8A1E_1289BB5797BC_.wvu.FilterData" localSheetId="8" hidden="1">'SAH-9 (Public)'!$A$6:$J$6</definedName>
    <definedName name="Z_8B154D2A_C832_4D50_A9E3_A3AA1486FDED_.wvu.FilterData" localSheetId="3" hidden="1">'SAH-4 (Public)'!$A$6:$N$6</definedName>
    <definedName name="Z_8CB17C1F_5358_435E_B2F8_1BF89C984A0F_.wvu.FilterData" localSheetId="8" hidden="1">'SAH-9 (Public)'!$A$6:$J$6</definedName>
    <definedName name="Z_8DCEB30C_7B0F_428C_ADD7_C854A1B3CB34_.wvu.FilterData" localSheetId="8" hidden="1">'SAH-9 (Public)'!$A$6:$J$6</definedName>
    <definedName name="Z_8DCEB30C_7B0F_428C_ADD7_C854A1B3CB34_.wvu.PrintArea" localSheetId="8" hidden="1">'SAH-9 (Public)'!$A$1:$J$6</definedName>
    <definedName name="Z_8DCEB30C_7B0F_428C_ADD7_C854A1B3CB34_.wvu.PrintTitles" localSheetId="8" hidden="1">'SAH-9 (Public)'!$6:$6</definedName>
    <definedName name="Z_8DE56A52_E862_4608_95AB_620E487A05D1_.wvu.FilterData" localSheetId="8" hidden="1">'SAH-9 (Public)'!$A$6:$J$6</definedName>
    <definedName name="Z_8E15F1BB_596A_4DA7_A7BA_5FF7FB13B13A_.wvu.FilterData" localSheetId="3" hidden="1">'SAH-4 (Public)'!$A$6:$N$6</definedName>
    <definedName name="Z_8E15F1BB_596A_4DA7_A7BA_5FF7FB13B13A_.wvu.FilterData" localSheetId="8" hidden="1">'SAH-9 (Public)'!$A$6:$J$6</definedName>
    <definedName name="Z_8F954FDE_1859_47EC_9506_43C42143EE0F_.wvu.FilterData" localSheetId="8" hidden="1">'SAH-9 (Public)'!$A$6:$J$6</definedName>
    <definedName name="Z_8FFF3C77_2825_41B0_9391_60059C2D97A9_.wvu.Cols" localSheetId="3" hidden="1">'SAH-4 (Public)'!#REF!,'SAH-4 (Public)'!#REF!</definedName>
    <definedName name="Z_8FFF3C77_2825_41B0_9391_60059C2D97A9_.wvu.Cols" localSheetId="4" hidden="1">'SAH-5 (Public)'!#REF!,'SAH-5 (Public)'!#REF!,'SAH-5 (Public)'!#REF!</definedName>
    <definedName name="Z_8FFF3C77_2825_41B0_9391_60059C2D97A9_.wvu.Cols" localSheetId="5" hidden="1">'SAH-6 (Public)'!#REF!,'SAH-6 (Public)'!#REF!</definedName>
    <definedName name="Z_8FFF3C77_2825_41B0_9391_60059C2D97A9_.wvu.Cols" localSheetId="6" hidden="1">'SAH-7 (Public)'!#REF!,'SAH-7 (Public)'!#REF!,'SAH-7 (Public)'!#REF!</definedName>
    <definedName name="Z_8FFF3C77_2825_41B0_9391_60059C2D97A9_.wvu.FilterData" localSheetId="3" hidden="1">'SAH-4 (Public)'!$A$6:$J$6</definedName>
    <definedName name="Z_8FFF3C77_2825_41B0_9391_60059C2D97A9_.wvu.FilterData" localSheetId="4" hidden="1">'SAH-5 (Public)'!$A$6:$J$6</definedName>
    <definedName name="Z_8FFF3C77_2825_41B0_9391_60059C2D97A9_.wvu.FilterData" localSheetId="5" hidden="1">'SAH-6 (Public)'!$A$6:$J$6</definedName>
    <definedName name="Z_8FFF3C77_2825_41B0_9391_60059C2D97A9_.wvu.FilterData" localSheetId="6" hidden="1">'SAH-7 (Public)'!$A$6:$J$6</definedName>
    <definedName name="Z_8FFF3C77_2825_41B0_9391_60059C2D97A9_.wvu.FilterData" localSheetId="8" hidden="1">'SAH-9 (Public)'!$A$6:$J$6</definedName>
    <definedName name="Z_8FFF3C77_2825_41B0_9391_60059C2D97A9_.wvu.PrintArea" localSheetId="3" hidden="1">'SAH-4 (Public)'!$A$1:$J$6</definedName>
    <definedName name="Z_8FFF3C77_2825_41B0_9391_60059C2D97A9_.wvu.PrintArea" localSheetId="4" hidden="1">'SAH-5 (Public)'!$A$1:$J$6</definedName>
    <definedName name="Z_8FFF3C77_2825_41B0_9391_60059C2D97A9_.wvu.PrintArea" localSheetId="5" hidden="1">'SAH-6 (Public)'!$A$1:$J$6</definedName>
    <definedName name="Z_8FFF3C77_2825_41B0_9391_60059C2D97A9_.wvu.PrintArea" localSheetId="6" hidden="1">'SAH-7 (Public)'!$A$1:$J$6</definedName>
    <definedName name="Z_8FFF3C77_2825_41B0_9391_60059C2D97A9_.wvu.PrintArea" localSheetId="8" hidden="1">'SAH-9 (Public)'!$A$1:$J$6</definedName>
    <definedName name="Z_8FFF3C77_2825_41B0_9391_60059C2D97A9_.wvu.PrintTitles" localSheetId="3" hidden="1">'SAH-4 (Public)'!$6:$6</definedName>
    <definedName name="Z_8FFF3C77_2825_41B0_9391_60059C2D97A9_.wvu.PrintTitles" localSheetId="4" hidden="1">'SAH-5 (Public)'!$6:$6</definedName>
    <definedName name="Z_8FFF3C77_2825_41B0_9391_60059C2D97A9_.wvu.PrintTitles" localSheetId="5" hidden="1">'SAH-6 (Public)'!$6:$6</definedName>
    <definedName name="Z_8FFF3C77_2825_41B0_9391_60059C2D97A9_.wvu.PrintTitles" localSheetId="8" hidden="1">'SAH-9 (Public)'!$6:$6</definedName>
    <definedName name="Z_8FFF3C77_2825_41B0_9391_60059C2D97A9_.wvu.Rows" localSheetId="4" hidden="1">'SAH-5 (Public)'!#REF!</definedName>
    <definedName name="Z_8FFF3C77_2825_41B0_9391_60059C2D97A9_.wvu.Rows" localSheetId="6" hidden="1">'SAH-7 (Public)'!#REF!</definedName>
    <definedName name="Z_912BCF8D_911F_465E_ACD9_2BA4DA7FEC76_.wvu.FilterData" localSheetId="3" hidden="1">'SAH-4 (Public)'!$A$6:$J$6</definedName>
    <definedName name="Z_91780941_6E3E_4716_9969_2F92F9A35E2E_.wvu.FilterData" localSheetId="8" hidden="1">'SAH-9 (Public)'!$A$6:$G$6</definedName>
    <definedName name="Z_91780941_6E3E_4716_9969_2F92F9A35E2E_.wvu.PrintArea" localSheetId="8" hidden="1">'SAH-9 (Public)'!$A$1:$G$6</definedName>
    <definedName name="Z_91780941_6E3E_4716_9969_2F92F9A35E2E_.wvu.PrintTitles" localSheetId="8" hidden="1">'SAH-9 (Public)'!$6:$6</definedName>
    <definedName name="Z_9194728E_CBD2_43A3_8DDE_44DC46912241_.wvu.FilterData" localSheetId="8" hidden="1">'SAH-9 (Public)'!$A$6:$J$6</definedName>
    <definedName name="Z_93D61EE9_3ED5_4E0E_A4E7_FB0CC4CA6336_.wvu.FilterData" localSheetId="8" hidden="1">'SAH-9 (Public)'!$A$6:$J$6</definedName>
    <definedName name="Z_95ADB999_3172_4B21_A6DB_15AB9D588FC3_.wvu.FilterData" localSheetId="3" hidden="1">'SAH-4 (Public)'!$A$6:$N$6</definedName>
    <definedName name="Z_95CB6B4C_BBA4_4D76_A936_73F4FBC81FF7_.wvu.FilterData" localSheetId="5" hidden="1">'SAH-6 (Public)'!$A$6:$J$6</definedName>
    <definedName name="Z_979CB94E_D566_402C_9985_8941C3C50686_.wvu.FilterData" localSheetId="4" hidden="1">'SAH-5 (Public)'!$A$6:$J$6</definedName>
    <definedName name="Z_987988FC_A887_4872_986A_B9988365F064_.wvu.FilterData" localSheetId="6" hidden="1">'SAH-7 (Public)'!$A$6:$J$6</definedName>
    <definedName name="Z_987988FC_A887_4872_986A_B9988365F064_.wvu.PrintArea" localSheetId="6" hidden="1">'SAH-7 (Public)'!$A$1:$J$6</definedName>
    <definedName name="Z_987988FC_A887_4872_986A_B9988365F064_.wvu.PrintTitles" localSheetId="6" hidden="1">'SAH-7 (Public)'!$6:$6</definedName>
    <definedName name="Z_9A33EC23_711F_4E94_8656_20D7B19A81F4_.wvu.FilterData" localSheetId="6" hidden="1">'SAH-7 (Public)'!$A$6:$J$6</definedName>
    <definedName name="Z_9A37F2CF_AEA8_455A_BF8D_E833C12F7B68_.wvu.Cols" localSheetId="5" hidden="1">'SAH-6 (Public)'!#REF!</definedName>
    <definedName name="Z_9A37F2CF_AEA8_455A_BF8D_E833C12F7B68_.wvu.FilterData" localSheetId="5" hidden="1">'SAH-6 (Public)'!$A$6:$J$6</definedName>
    <definedName name="Z_9A37F2CF_AEA8_455A_BF8D_E833C12F7B68_.wvu.PrintArea" localSheetId="5" hidden="1">'SAH-6 (Public)'!$A$1:$J$6</definedName>
    <definedName name="Z_9A37F2CF_AEA8_455A_BF8D_E833C12F7B68_.wvu.PrintTitles" localSheetId="5" hidden="1">'SAH-6 (Public)'!$6:$6</definedName>
    <definedName name="Z_9A510B0F_21C5_4749_9F33_B1963086D33F_.wvu.FilterData" localSheetId="5" hidden="1">'SAH-6 (Public)'!$A$6:$J$6</definedName>
    <definedName name="Z_9A510B0F_21C5_4749_9F33_B1963086D33F_.wvu.PrintArea" localSheetId="5" hidden="1">'SAH-6 (Public)'!$A$1:$J$6</definedName>
    <definedName name="Z_9A510B0F_21C5_4749_9F33_B1963086D33F_.wvu.PrintTitles" localSheetId="5" hidden="1">'SAH-6 (Public)'!$6:$6</definedName>
    <definedName name="Z_9CFA7151_E62D_4DEE_B95E_96CC50935BEE_.wvu.FilterData" localSheetId="4" hidden="1">'SAH-5 (Public)'!$A$6:$J$6</definedName>
    <definedName name="Z_9CFA7151_E62D_4DEE_B95E_96CC50935BEE_.wvu.FilterData" localSheetId="6" hidden="1">'SAH-7 (Public)'!$A$6:$J$6</definedName>
    <definedName name="Z_9CFA7151_E62D_4DEE_B95E_96CC50935BEE_.wvu.PrintArea" localSheetId="4" hidden="1">'SAH-5 (Public)'!$A$1:$J$6</definedName>
    <definedName name="Z_9CFA7151_E62D_4DEE_B95E_96CC50935BEE_.wvu.PrintArea" localSheetId="6" hidden="1">'SAH-7 (Public)'!$A$1:$J$6</definedName>
    <definedName name="Z_9CFA7151_E62D_4DEE_B95E_96CC50935BEE_.wvu.PrintTitles" localSheetId="4" hidden="1">'SAH-5 (Public)'!$6:$6</definedName>
    <definedName name="Z_9D484A51_1240_49C1_8351_AAD0330FAE04_.wvu.FilterData" localSheetId="3" hidden="1">'SAH-4 (Public)'!$A$6:$J$6</definedName>
    <definedName name="Z_9D7F7174_2D4E_4490_BBAD_5C9906C8F1F9_.wvu.FilterData" localSheetId="4" hidden="1">'SAH-5 (Public)'!$A$6:$J$6</definedName>
    <definedName name="Z_9D7F7174_2D4E_4490_BBAD_5C9906C8F1F9_.wvu.FilterData" localSheetId="8" hidden="1">'SAH-9 (Public)'!$A$6:$J$6</definedName>
    <definedName name="Z_9DA4E337_89A2_4100_A3A4_E14F0C960680_.wvu.FilterData" localSheetId="8" hidden="1">'SAH-9 (Public)'!$A$6:$J$6</definedName>
    <definedName name="Z_9EFDEC82_5D33_44BE_92B7_C0126CF77595_.wvu.FilterData" localSheetId="8" hidden="1">'SAH-9 (Public)'!$A$6:$G$6</definedName>
    <definedName name="Z_9F860BBF_1303_4806_BDD9_5483EE1E461A_.wvu.FilterData" localSheetId="4" hidden="1">'SAH-5 (Public)'!$A$6:$J$6</definedName>
    <definedName name="Z_9FBB8BB2_DA71_4892_9BEA_873D0B9AAEB3_.wvu.FilterData" localSheetId="3" hidden="1">'SAH-4 (Public)'!$A$6:$J$6</definedName>
    <definedName name="Z_A0421522_BBB6_413C_9BC2_5CC17529B230_.wvu.FilterData" localSheetId="6" hidden="1">'SAH-7 (Public)'!$A$6:$J$6</definedName>
    <definedName name="Z_A0421522_BBB6_413C_9BC2_5CC17529B230_.wvu.PrintArea" localSheetId="6" hidden="1">'SAH-7 (Public)'!$A$1:$J$6</definedName>
    <definedName name="Z_A114049B_E89C_4592_BA60_D2F2E55EF008_.wvu.FilterData" localSheetId="8" hidden="1">'SAH-9 (Public)'!$A$6:$J$6</definedName>
    <definedName name="Z_A114049B_E89C_4592_BA60_D2F2E55EF008_.wvu.PrintArea" localSheetId="8" hidden="1">'SAH-9 (Public)'!$A$1:$J$6</definedName>
    <definedName name="Z_A114049B_E89C_4592_BA60_D2F2E55EF008_.wvu.PrintTitles" localSheetId="8" hidden="1">'SAH-9 (Public)'!$6:$6</definedName>
    <definedName name="Z_A31FE114_2765_4211_A2E3_73F81103CE3C_.wvu.FilterData" localSheetId="3" hidden="1">'SAH-4 (Public)'!$A$1:$J$6</definedName>
    <definedName name="Z_A50285A1_C28C_4CA9_BAA6_FD82C39B3243_.wvu.FilterData" localSheetId="3" hidden="1">'SAH-4 (Public)'!$A$6:$J$6</definedName>
    <definedName name="Z_A5E92898_DE21_4AEB_9EAF_635A938F89BE_.wvu.FilterData" localSheetId="8" hidden="1">'SAH-9 (Public)'!$A$6:$J$6</definedName>
    <definedName name="Z_A63E14EF_D5C1_4E1C_B470_A6769C8820F1_.wvu.Cols" localSheetId="3" hidden="1">'SAH-4 (Public)'!#REF!,'SAH-4 (Public)'!#REF!,'SAH-4 (Public)'!#REF!,'SAH-4 (Public)'!#REF!,'SAH-4 (Public)'!#REF!</definedName>
    <definedName name="Z_A63E14EF_D5C1_4E1C_B470_A6769C8820F1_.wvu.Cols" localSheetId="4" hidden="1">'SAH-5 (Public)'!#REF!,'SAH-5 (Public)'!#REF!,'SAH-5 (Public)'!#REF!,'SAH-5 (Public)'!#REF!,'SAH-5 (Public)'!#REF!,'SAH-5 (Public)'!#REF!</definedName>
    <definedName name="Z_A63E14EF_D5C1_4E1C_B470_A6769C8820F1_.wvu.Cols" localSheetId="5" hidden="1">'SAH-6 (Public)'!#REF!,'SAH-6 (Public)'!#REF!,'SAH-6 (Public)'!#REF!,'SAH-6 (Public)'!#REF!</definedName>
    <definedName name="Z_A63E14EF_D5C1_4E1C_B470_A6769C8820F1_.wvu.Cols" localSheetId="8" hidden="1">'SAH-9 (Public)'!#REF!,'SAH-9 (Public)'!#REF!,'SAH-9 (Public)'!#REF!,'SAH-9 (Public)'!#REF!,'SAH-9 (Public)'!#REF!,'SAH-9 (Public)'!#REF!</definedName>
    <definedName name="Z_A63E14EF_D5C1_4E1C_B470_A6769C8820F1_.wvu.FilterData" localSheetId="3" hidden="1">'SAH-4 (Public)'!$A$6:$N$6</definedName>
    <definedName name="Z_A63E14EF_D5C1_4E1C_B470_A6769C8820F1_.wvu.FilterData" localSheetId="4" hidden="1">'SAH-5 (Public)'!$A$6:$J$6</definedName>
    <definedName name="Z_A63E14EF_D5C1_4E1C_B470_A6769C8820F1_.wvu.FilterData" localSheetId="5" hidden="1">'SAH-6 (Public)'!$A$6:$J$6</definedName>
    <definedName name="Z_A63E14EF_D5C1_4E1C_B470_A6769C8820F1_.wvu.FilterData" localSheetId="8" hidden="1">'SAH-9 (Public)'!$A$6:$M$6</definedName>
    <definedName name="Z_A63E14EF_D5C1_4E1C_B470_A6769C8820F1_.wvu.PrintTitles" localSheetId="3" hidden="1">'SAH-4 (Public)'!$6:$6</definedName>
    <definedName name="Z_A63E14EF_D5C1_4E1C_B470_A6769C8820F1_.wvu.PrintTitles" localSheetId="4" hidden="1">'SAH-5 (Public)'!$6:$6</definedName>
    <definedName name="Z_A63E14EF_D5C1_4E1C_B470_A6769C8820F1_.wvu.PrintTitles" localSheetId="5" hidden="1">'SAH-6 (Public)'!$6:$6</definedName>
    <definedName name="Z_A63E14EF_D5C1_4E1C_B470_A6769C8820F1_.wvu.PrintTitles" localSheetId="8" hidden="1">'SAH-9 (Public)'!$6:$6</definedName>
    <definedName name="Z_A81E9EFF_EC04_4207_A6F9_80E1E0974734_.wvu.FilterData" localSheetId="3" hidden="1">'SAH-4 (Public)'!$A$6:$J$6</definedName>
    <definedName name="Z_A81E9EFF_EC04_4207_A6F9_80E1E0974734_.wvu.FilterData" localSheetId="8" hidden="1">'SAH-9 (Public)'!$A$6:$J$6</definedName>
    <definedName name="Z_A8FB8508_ED20_4112_9E86_776C91B79B8E_.wvu.FilterData" localSheetId="4" hidden="1">'SAH-5 (Public)'!$A$6:$J$6</definedName>
    <definedName name="Z_A8FB8508_ED20_4112_9E86_776C91B79B8E_.wvu.FilterData" localSheetId="6" hidden="1">'SAH-7 (Public)'!$A$6:$J$6</definedName>
    <definedName name="Z_A8FB8508_ED20_4112_9E86_776C91B79B8E_.wvu.PrintArea" localSheetId="4" hidden="1">'SAH-5 (Public)'!$A$1:$J$6</definedName>
    <definedName name="Z_A8FB8508_ED20_4112_9E86_776C91B79B8E_.wvu.PrintArea" localSheetId="6" hidden="1">'SAH-7 (Public)'!$A$1:$J$6</definedName>
    <definedName name="Z_A8FB8508_ED20_4112_9E86_776C91B79B8E_.wvu.PrintTitles" localSheetId="4" hidden="1">'SAH-5 (Public)'!$6:$6</definedName>
    <definedName name="Z_A9BD14DE_6A79_49D7_87AB_D9C7F2984C84_.wvu.FilterData" localSheetId="4" hidden="1">'SAH-5 (Public)'!$A$6:$J$6</definedName>
    <definedName name="Z_A9BD14DE_6A79_49D7_87AB_D9C7F2984C84_.wvu.FilterData" localSheetId="6" hidden="1">'SAH-7 (Public)'!$A$6:$J$6</definedName>
    <definedName name="Z_A9BD14DE_6A79_49D7_87AB_D9C7F2984C84_.wvu.PrintArea" localSheetId="4" hidden="1">'SAH-5 (Public)'!$A$1:$J$6</definedName>
    <definedName name="Z_A9BD14DE_6A79_49D7_87AB_D9C7F2984C84_.wvu.PrintArea" localSheetId="6" hidden="1">'SAH-7 (Public)'!$A$1:$J$6</definedName>
    <definedName name="Z_A9BD14DE_6A79_49D7_87AB_D9C7F2984C84_.wvu.PrintTitles" localSheetId="4" hidden="1">'SAH-5 (Public)'!$6:$6</definedName>
    <definedName name="Z_ABD31C00_A6DB_455E_8A4B_4D8ADBCF8490_.wvu.FilterData" localSheetId="3" hidden="1">'SAH-4 (Public)'!$A$6:$J$6</definedName>
    <definedName name="Z_ADD661A0_0461_41E3_BAE7_C27A23A957D1_.wvu.FilterData" localSheetId="8" hidden="1">'SAH-9 (Public)'!$A$6:$J$6</definedName>
    <definedName name="Z_AE143403_C441_49F8_AD32_9C722508526B_.wvu.Cols" localSheetId="3" hidden="1">'SAH-4 (Public)'!#REF!,'SAH-4 (Public)'!#REF!</definedName>
    <definedName name="Z_AE143403_C441_49F8_AD32_9C722508526B_.wvu.Cols" localSheetId="4" hidden="1">'SAH-5 (Public)'!#REF!,'SAH-5 (Public)'!#REF!</definedName>
    <definedName name="Z_AE143403_C441_49F8_AD32_9C722508526B_.wvu.Cols" localSheetId="5" hidden="1">'SAH-6 (Public)'!#REF!,'SAH-6 (Public)'!#REF!</definedName>
    <definedName name="Z_AE143403_C441_49F8_AD32_9C722508526B_.wvu.Cols" localSheetId="8" hidden="1">'SAH-9 (Public)'!#REF!,'SAH-9 (Public)'!#REF!</definedName>
    <definedName name="Z_AE143403_C441_49F8_AD32_9C722508526B_.wvu.FilterData" localSheetId="3" hidden="1">'SAH-4 (Public)'!$A$6:$N$6</definedName>
    <definedName name="Z_AE143403_C441_49F8_AD32_9C722508526B_.wvu.FilterData" localSheetId="4" hidden="1">'SAH-5 (Public)'!$A$6:$J$6</definedName>
    <definedName name="Z_AE143403_C441_49F8_AD32_9C722508526B_.wvu.FilterData" localSheetId="5" hidden="1">'SAH-6 (Public)'!$A$6:$J$6</definedName>
    <definedName name="Z_AE143403_C441_49F8_AD32_9C722508526B_.wvu.FilterData" localSheetId="8" hidden="1">'SAH-9 (Public)'!$A$6:$M$6</definedName>
    <definedName name="Z_AE143403_C441_49F8_AD32_9C722508526B_.wvu.PrintTitles" localSheetId="3" hidden="1">'SAH-4 (Public)'!$6:$6</definedName>
    <definedName name="Z_AE143403_C441_49F8_AD32_9C722508526B_.wvu.PrintTitles" localSheetId="4" hidden="1">'SAH-5 (Public)'!$6:$6</definedName>
    <definedName name="Z_AE143403_C441_49F8_AD32_9C722508526B_.wvu.PrintTitles" localSheetId="5" hidden="1">'SAH-6 (Public)'!$6:$6</definedName>
    <definedName name="Z_AE143403_C441_49F8_AD32_9C722508526B_.wvu.PrintTitles" localSheetId="8" hidden="1">'SAH-9 (Public)'!$6:$6</definedName>
    <definedName name="Z_AFCC5CA4_50FC_4B1F_8D79_3642991CBCB3_.wvu.Cols" localSheetId="3" hidden="1">'SAH-4 (Public)'!#REF!,'SAH-4 (Public)'!#REF!</definedName>
    <definedName name="Z_AFCC5CA4_50FC_4B1F_8D79_3642991CBCB3_.wvu.Cols" localSheetId="4" hidden="1">'SAH-5 (Public)'!#REF!,'SAH-5 (Public)'!#REF!,'SAH-5 (Public)'!#REF!</definedName>
    <definedName name="Z_AFCC5CA4_50FC_4B1F_8D79_3642991CBCB3_.wvu.Cols" localSheetId="5" hidden="1">'SAH-6 (Public)'!#REF!,'SAH-6 (Public)'!#REF!</definedName>
    <definedName name="Z_AFCC5CA4_50FC_4B1F_8D79_3642991CBCB3_.wvu.Cols" localSheetId="6" hidden="1">'SAH-7 (Public)'!#REF!,'SAH-7 (Public)'!#REF!,'SAH-7 (Public)'!#REF!</definedName>
    <definedName name="Z_AFCC5CA4_50FC_4B1F_8D79_3642991CBCB3_.wvu.FilterData" localSheetId="3" hidden="1">'SAH-4 (Public)'!$A$6:$J$6</definedName>
    <definedName name="Z_AFCC5CA4_50FC_4B1F_8D79_3642991CBCB3_.wvu.FilterData" localSheetId="4" hidden="1">'SAH-5 (Public)'!$A$6:$J$6</definedName>
    <definedName name="Z_AFCC5CA4_50FC_4B1F_8D79_3642991CBCB3_.wvu.FilterData" localSheetId="5" hidden="1">'SAH-6 (Public)'!$A$6:$J$6</definedName>
    <definedName name="Z_AFCC5CA4_50FC_4B1F_8D79_3642991CBCB3_.wvu.FilterData" localSheetId="6" hidden="1">'SAH-7 (Public)'!$A$6:$H$6</definedName>
    <definedName name="Z_AFCC5CA4_50FC_4B1F_8D79_3642991CBCB3_.wvu.FilterData" localSheetId="8" hidden="1">'SAH-9 (Public)'!$A$6:$J$6</definedName>
    <definedName name="Z_AFCC5CA4_50FC_4B1F_8D79_3642991CBCB3_.wvu.PrintArea" localSheetId="3" hidden="1">'SAH-4 (Public)'!$A$1:$J$6</definedName>
    <definedName name="Z_AFCC5CA4_50FC_4B1F_8D79_3642991CBCB3_.wvu.PrintArea" localSheetId="4" hidden="1">'SAH-5 (Public)'!$A$1:$J$6</definedName>
    <definedName name="Z_AFCC5CA4_50FC_4B1F_8D79_3642991CBCB3_.wvu.PrintArea" localSheetId="5" hidden="1">'SAH-6 (Public)'!$A$1:$J$6</definedName>
    <definedName name="Z_AFCC5CA4_50FC_4B1F_8D79_3642991CBCB3_.wvu.PrintArea" localSheetId="6" hidden="1">'SAH-7 (Public)'!$A$1:$J$6</definedName>
    <definedName name="Z_AFCC5CA4_50FC_4B1F_8D79_3642991CBCB3_.wvu.PrintArea" localSheetId="8" hidden="1">'SAH-9 (Public)'!$A$1:$J$6</definedName>
    <definedName name="Z_AFCC5CA4_50FC_4B1F_8D79_3642991CBCB3_.wvu.PrintTitles" localSheetId="3" hidden="1">'SAH-4 (Public)'!$6:$6</definedName>
    <definedName name="Z_AFCC5CA4_50FC_4B1F_8D79_3642991CBCB3_.wvu.PrintTitles" localSheetId="4" hidden="1">'SAH-5 (Public)'!$6:$6</definedName>
    <definedName name="Z_AFCC5CA4_50FC_4B1F_8D79_3642991CBCB3_.wvu.PrintTitles" localSheetId="5" hidden="1">'SAH-6 (Public)'!$6:$6</definedName>
    <definedName name="Z_AFCC5CA4_50FC_4B1F_8D79_3642991CBCB3_.wvu.PrintTitles" localSheetId="8" hidden="1">'SAH-9 (Public)'!$6:$6</definedName>
    <definedName name="Z_AFCC5CA4_50FC_4B1F_8D79_3642991CBCB3_.wvu.Rows" localSheetId="5" hidden="1">'SAH-6 (Public)'!#REF!</definedName>
    <definedName name="Z_B10E950D_F63D_4221_8C80_46F0575A131A_.wvu.FilterData" localSheetId="4" hidden="1">'SAH-5 (Public)'!$A$6:$J$6</definedName>
    <definedName name="Z_B10E950D_F63D_4221_8C80_46F0575A131A_.wvu.FilterData" localSheetId="5" hidden="1">'SAH-6 (Public)'!$A$6:$J$6</definedName>
    <definedName name="Z_B207B624_6B10_4952_81C4_2EEC3A65FE15_.wvu.FilterData" localSheetId="8" hidden="1">'SAH-9 (Public)'!$A$6:$J$6</definedName>
    <definedName name="Z_B26B3D8D_0758_4EF4_A7E0_48D180F99594_.wvu.PrintArea" localSheetId="3" hidden="1">'SAH-4 (Public)'!$A$1:$A$5</definedName>
    <definedName name="Z_B26B3D8D_0758_4EF4_A7E0_48D180F99594_.wvu.PrintArea" localSheetId="4" hidden="1">'SAH-5 (Public)'!$A$1:$A$5</definedName>
    <definedName name="Z_B26B3D8D_0758_4EF4_A7E0_48D180F99594_.wvu.PrintArea" localSheetId="5" hidden="1">'SAH-6 (Public)'!$A$1:$C$6</definedName>
    <definedName name="Z_B26B3D8D_0758_4EF4_A7E0_48D180F99594_.wvu.PrintArea" localSheetId="6" hidden="1">'SAH-7 (Public)'!$A$1:$A$5</definedName>
    <definedName name="Z_B26B3D8D_0758_4EF4_A7E0_48D180F99594_.wvu.PrintArea" localSheetId="8" hidden="1">'SAH-9 (Public)'!$A$1:$A$6</definedName>
    <definedName name="Z_B2E40447_3AFE_4AED_AE15_287D23E8296F_.wvu.FilterData" localSheetId="4" hidden="1">'SAH-5 (Public)'!$A$6:$J$6</definedName>
    <definedName name="Z_B2E40447_3AFE_4AED_AE15_287D23E8296F_.wvu.FilterData" localSheetId="6" hidden="1">'SAH-7 (Public)'!$A$6:$J$6</definedName>
    <definedName name="Z_B2E40447_3AFE_4AED_AE15_287D23E8296F_.wvu.PrintArea" localSheetId="4" hidden="1">'SAH-5 (Public)'!$A$1:$J$6</definedName>
    <definedName name="Z_B2E40447_3AFE_4AED_AE15_287D23E8296F_.wvu.PrintArea" localSheetId="6" hidden="1">'SAH-7 (Public)'!$A$1:$J$6</definedName>
    <definedName name="Z_B2E40447_3AFE_4AED_AE15_287D23E8296F_.wvu.PrintTitles" localSheetId="4" hidden="1">'SAH-5 (Public)'!$6:$6</definedName>
    <definedName name="Z_B35B0806_198D_4AAA_A62B_7237DD20E17E_.wvu.PrintArea" localSheetId="3" hidden="1">'SAH-4 (Public)'!$A$1:$A$5</definedName>
    <definedName name="Z_B35B0806_198D_4AAA_A62B_7237DD20E17E_.wvu.PrintArea" localSheetId="4" hidden="1">'SAH-5 (Public)'!$A$1:$A$5</definedName>
    <definedName name="Z_B35B0806_198D_4AAA_A62B_7237DD20E17E_.wvu.PrintArea" localSheetId="5" hidden="1">'SAH-6 (Public)'!$A$1:$C$6</definedName>
    <definedName name="Z_B35B0806_198D_4AAA_A62B_7237DD20E17E_.wvu.PrintArea" localSheetId="6" hidden="1">'SAH-7 (Public)'!$A$1:$A$5</definedName>
    <definedName name="Z_B35B0806_198D_4AAA_A62B_7237DD20E17E_.wvu.PrintArea" localSheetId="8" hidden="1">'SAH-9 (Public)'!$A$1:$A$6</definedName>
    <definedName name="Z_B63C387D_A056_4E4D_B166_5B5FE846313F_.wvu.FilterData" localSheetId="3" hidden="1">'SAH-4 (Public)'!$A$6:$J$6</definedName>
    <definedName name="Z_B63C387D_A056_4E4D_B166_5B5FE846313F_.wvu.FilterData" localSheetId="4" hidden="1">'SAH-5 (Public)'!$A$6:$J$6</definedName>
    <definedName name="Z_B63C387D_A056_4E4D_B166_5B5FE846313F_.wvu.FilterData" localSheetId="5" hidden="1">'SAH-6 (Public)'!$A$6:$J$6</definedName>
    <definedName name="Z_B63C387D_A056_4E4D_B166_5B5FE846313F_.wvu.FilterData" localSheetId="6" hidden="1">'SAH-7 (Public)'!$A$6:$J$6</definedName>
    <definedName name="Z_B63C387D_A056_4E4D_B166_5B5FE846313F_.wvu.FilterData" localSheetId="8" hidden="1">'SAH-9 (Public)'!$A$6:$J$6</definedName>
    <definedName name="Z_B63C387D_A056_4E4D_B166_5B5FE846313F_.wvu.PrintArea" localSheetId="3" hidden="1">'SAH-4 (Public)'!$A$1:$J$6</definedName>
    <definedName name="Z_B63C387D_A056_4E4D_B166_5B5FE846313F_.wvu.PrintArea" localSheetId="4" hidden="1">'SAH-5 (Public)'!$A$1:$J$6</definedName>
    <definedName name="Z_B63C387D_A056_4E4D_B166_5B5FE846313F_.wvu.PrintArea" localSheetId="5" hidden="1">'SAH-6 (Public)'!$A$1:$J$6</definedName>
    <definedName name="Z_B63C387D_A056_4E4D_B166_5B5FE846313F_.wvu.PrintArea" localSheetId="6" hidden="1">'SAH-7 (Public)'!$A$1:$J$6</definedName>
    <definedName name="Z_B63C387D_A056_4E4D_B166_5B5FE846313F_.wvu.PrintTitles" localSheetId="3" hidden="1">'SAH-4 (Public)'!$6:$6</definedName>
    <definedName name="Z_B63C387D_A056_4E4D_B166_5B5FE846313F_.wvu.PrintTitles" localSheetId="4" hidden="1">'SAH-5 (Public)'!$6:$6</definedName>
    <definedName name="Z_B63C387D_A056_4E4D_B166_5B5FE846313F_.wvu.PrintTitles" localSheetId="5" hidden="1">'SAH-6 (Public)'!$6:$6</definedName>
    <definedName name="Z_B63C387D_A056_4E4D_B166_5B5FE846313F_.wvu.PrintTitles" localSheetId="8" hidden="1">'SAH-9 (Public)'!$6:$6</definedName>
    <definedName name="Z_B753715A_6862_4E2C_B597_EC34FCA7AAA9_.wvu.FilterData" localSheetId="4" hidden="1">'SAH-5 (Public)'!$A$6:$J$6</definedName>
    <definedName name="Z_B753715A_6862_4E2C_B597_EC34FCA7AAA9_.wvu.FilterData" localSheetId="5" hidden="1">'SAH-6 (Public)'!$A$6:$J$6</definedName>
    <definedName name="Z_B753715A_6862_4E2C_B597_EC34FCA7AAA9_.wvu.FilterData" localSheetId="8" hidden="1">'SAH-9 (Public)'!$A$6:$M$6</definedName>
    <definedName name="Z_B8F897C4_4EB1_48E3_8096_A9049BAAFBCC_.wvu.FilterData" localSheetId="8" hidden="1">'SAH-9 (Public)'!$A$6:$J$6</definedName>
    <definedName name="Z_B932A06D_29D4_420E_AF50_ECCA3498066A_.wvu.FilterData" localSheetId="6" hidden="1">'SAH-7 (Public)'!$A$6:$J$6</definedName>
    <definedName name="Z_B932A06D_29D4_420E_AF50_ECCA3498066A_.wvu.PrintTitles" localSheetId="6" hidden="1">'SAH-7 (Public)'!$6:$6</definedName>
    <definedName name="Z_B9D0BA06_456B_4C9E_88C3_7A6124D6A10E_.wvu.FilterData" localSheetId="4" hidden="1">'SAH-5 (Public)'!$A$6:$J$6</definedName>
    <definedName name="Z_B9D0BA06_456B_4C9E_88C3_7A6124D6A10E_.wvu.FilterData" localSheetId="8" hidden="1">'SAH-9 (Public)'!$A$6:$J$6</definedName>
    <definedName name="Z_BB117E27_D7D4_40F4_A294_3A7F6FCBFD7A_.wvu.FilterData" localSheetId="8" hidden="1">'SAH-9 (Public)'!$A$6:$J$6</definedName>
    <definedName name="Z_BB117E27_D7D4_40F4_A294_3A7F6FCBFD7A_.wvu.PrintArea" localSheetId="8" hidden="1">'SAH-9 (Public)'!$A$1:$J$6</definedName>
    <definedName name="Z_BB117E27_D7D4_40F4_A294_3A7F6FCBFD7A_.wvu.PrintTitles" localSheetId="8" hidden="1">'SAH-9 (Public)'!$6:$6</definedName>
    <definedName name="Z_BCB5D5E8_D633_48A1_94CA_21D8E9A39971_.wvu.FilterData" localSheetId="3" hidden="1">'SAH-4 (Public)'!$A$6:$N$6</definedName>
    <definedName name="Z_BD069628_5300_436D_B240_C58951BE5C17_.wvu.Cols" localSheetId="3" hidden="1">'SAH-4 (Public)'!#REF!,'SAH-4 (Public)'!#REF!</definedName>
    <definedName name="Z_BD069628_5300_436D_B240_C58951BE5C17_.wvu.Cols" localSheetId="4" hidden="1">'SAH-5 (Public)'!#REF!,'SAH-5 (Public)'!#REF!,'SAH-5 (Public)'!#REF!</definedName>
    <definedName name="Z_BD069628_5300_436D_B240_C58951BE5C17_.wvu.Cols" localSheetId="5" hidden="1">'SAH-6 (Public)'!#REF!,'SAH-6 (Public)'!#REF!</definedName>
    <definedName name="Z_BD069628_5300_436D_B240_C58951BE5C17_.wvu.Cols" localSheetId="6" hidden="1">'SAH-7 (Public)'!#REF!,'SAH-7 (Public)'!#REF!,'SAH-7 (Public)'!#REF!</definedName>
    <definedName name="Z_BD069628_5300_436D_B240_C58951BE5C17_.wvu.FilterData" localSheetId="3" hidden="1">'SAH-4 (Public)'!$A$6:$J$6</definedName>
    <definedName name="Z_BD069628_5300_436D_B240_C58951BE5C17_.wvu.FilterData" localSheetId="4" hidden="1">'SAH-5 (Public)'!$A$6:$J$6</definedName>
    <definedName name="Z_BD069628_5300_436D_B240_C58951BE5C17_.wvu.FilterData" localSheetId="5" hidden="1">'SAH-6 (Public)'!$A$6:$J$6</definedName>
    <definedName name="Z_BD069628_5300_436D_B240_C58951BE5C17_.wvu.FilterData" localSheetId="6" hidden="1">'SAH-7 (Public)'!$A$6:$J$6</definedName>
    <definedName name="Z_BD069628_5300_436D_B240_C58951BE5C17_.wvu.FilterData" localSheetId="8" hidden="1">'SAH-9 (Public)'!$A$6:$J$6</definedName>
    <definedName name="Z_BD069628_5300_436D_B240_C58951BE5C17_.wvu.PrintArea" localSheetId="3" hidden="1">'SAH-4 (Public)'!$A$1:$J$6</definedName>
    <definedName name="Z_BD069628_5300_436D_B240_C58951BE5C17_.wvu.PrintArea" localSheetId="4" hidden="1">'SAH-5 (Public)'!$A$1:$J$6</definedName>
    <definedName name="Z_BD069628_5300_436D_B240_C58951BE5C17_.wvu.PrintArea" localSheetId="5" hidden="1">'SAH-6 (Public)'!$A$1:$J$6</definedName>
    <definedName name="Z_BD069628_5300_436D_B240_C58951BE5C17_.wvu.PrintArea" localSheetId="6" hidden="1">'SAH-7 (Public)'!$A$1:$J$6</definedName>
    <definedName name="Z_BD069628_5300_436D_B240_C58951BE5C17_.wvu.PrintArea" localSheetId="8" hidden="1">'SAH-9 (Public)'!$A$1:$J$6</definedName>
    <definedName name="Z_BD069628_5300_436D_B240_C58951BE5C17_.wvu.PrintTitles" localSheetId="3" hidden="1">'SAH-4 (Public)'!$6:$6</definedName>
    <definedName name="Z_BD069628_5300_436D_B240_C58951BE5C17_.wvu.PrintTitles" localSheetId="4" hidden="1">'SAH-5 (Public)'!$6:$6</definedName>
    <definedName name="Z_BD069628_5300_436D_B240_C58951BE5C17_.wvu.PrintTitles" localSheetId="5" hidden="1">'SAH-6 (Public)'!$6:$6</definedName>
    <definedName name="Z_BD069628_5300_436D_B240_C58951BE5C17_.wvu.PrintTitles" localSheetId="8" hidden="1">'SAH-9 (Public)'!$6:$6</definedName>
    <definedName name="Z_BD069628_5300_436D_B240_C58951BE5C17_.wvu.Rows" localSheetId="5" hidden="1">'SAH-6 (Public)'!#REF!</definedName>
    <definedName name="Z_BD069628_5300_436D_B240_C58951BE5C17_.wvu.Rows" localSheetId="6" hidden="1">'SAH-7 (Public)'!#REF!</definedName>
    <definedName name="Z_BD157C24_E98E_4450_A484_44158B242935_.wvu.FilterData" localSheetId="3" hidden="1">'SAH-4 (Public)'!$A$6:$N$6</definedName>
    <definedName name="Z_BF09255F_5E16_4C04_8A89_6A87CD88D689_.wvu.FilterData" localSheetId="3" hidden="1">'SAH-4 (Public)'!$A$6:$N$6</definedName>
    <definedName name="Z_BF09255F_5E16_4C04_8A89_6A87CD88D689_.wvu.FilterData" localSheetId="4" hidden="1">'SAH-5 (Public)'!$A$6:$J$6</definedName>
    <definedName name="Z_BF09255F_5E16_4C04_8A89_6A87CD88D689_.wvu.FilterData" localSheetId="5" hidden="1">'SAH-6 (Public)'!$A$6:$J$6</definedName>
    <definedName name="Z_BF09255F_5E16_4C04_8A89_6A87CD88D689_.wvu.FilterData" localSheetId="8" hidden="1">'SAH-9 (Public)'!$A$6:$J$6</definedName>
    <definedName name="Z_BF09255F_5E16_4C04_8A89_6A87CD88D689_.wvu.PrintTitles" localSheetId="3" hidden="1">'SAH-4 (Public)'!$6:$6</definedName>
    <definedName name="Z_BF09255F_5E16_4C04_8A89_6A87CD88D689_.wvu.PrintTitles" localSheetId="4" hidden="1">'SAH-5 (Public)'!$6:$6</definedName>
    <definedName name="Z_BF09255F_5E16_4C04_8A89_6A87CD88D689_.wvu.PrintTitles" localSheetId="5" hidden="1">'SAH-6 (Public)'!$6:$6</definedName>
    <definedName name="Z_BF09255F_5E16_4C04_8A89_6A87CD88D689_.wvu.PrintTitles" localSheetId="8" hidden="1">'SAH-9 (Public)'!$6:$6</definedName>
    <definedName name="Z_BF57C0ED_E321_4D33_9EFB_314428C9847C_.wvu.FilterData" localSheetId="3" hidden="1">'SAH-4 (Public)'!$A$6:$N$6</definedName>
    <definedName name="Z_C3D11D10_1F44_4D94_A307_3CBC493ADAEA_.wvu.FilterData" localSheetId="6" hidden="1">'SAH-7 (Public)'!$A$6:$J$6</definedName>
    <definedName name="Z_C793D1AF_7CA6_46DD_9C3E_0DC2CD8E9117_.wvu.FilterData" localSheetId="3" hidden="1">'SAH-4 (Public)'!$A$6:$J$6</definedName>
    <definedName name="Z_C8AFD257_12BC_468D_9DE9_E8256AA3FAEE_.wvu.FilterData" localSheetId="8" hidden="1">'SAH-9 (Public)'!$A$6:$M$6</definedName>
    <definedName name="Z_CA31F64D_7D10_4741_B9EF_9CCA7B8841FE_.wvu.FilterData" localSheetId="3" hidden="1">'SAH-4 (Public)'!$A$6:$J$6</definedName>
    <definedName name="Z_CA7B0C08_BDFF_4023_8847_8BE97C18A9D3_.wvu.FilterData" localSheetId="5" hidden="1">'SAH-6 (Public)'!$A$6:$J$6</definedName>
    <definedName name="Z_CA7B0C08_BDFF_4023_8847_8BE97C18A9D3_.wvu.FilterData" localSheetId="8" hidden="1">'SAH-9 (Public)'!$A$6:$J$6</definedName>
    <definedName name="Z_CB7F206D_6066_4023_A3D2_08AE1DCC6BD8_.wvu.FilterData" localSheetId="3" hidden="1">'SAH-4 (Public)'!$A$1:$J$6</definedName>
    <definedName name="Z_CD1E0E4C_A4CB_466E_924F_411D2C0FCE66_.wvu.FilterData" localSheetId="4" hidden="1">'SAH-5 (Public)'!$A$6:$J$6</definedName>
    <definedName name="Z_CD1E0E4C_A4CB_466E_924F_411D2C0FCE66_.wvu.FilterData" localSheetId="8" hidden="1">'SAH-9 (Public)'!$A$6:$J$6</definedName>
    <definedName name="Z_CD4E69FE_085B_4300_BFA0_0E71DCE8FCAE_.wvu.FilterData" localSheetId="3" hidden="1">'SAH-4 (Public)'!$A$6:$N$6</definedName>
    <definedName name="Z_CD4E69FE_085B_4300_BFA0_0E71DCE8FCAE_.wvu.FilterData" localSheetId="4" hidden="1">'SAH-5 (Public)'!$A$6:$J$6</definedName>
    <definedName name="Z_CD4E69FE_085B_4300_BFA0_0E71DCE8FCAE_.wvu.FilterData" localSheetId="8" hidden="1">'SAH-9 (Public)'!$A$6:$M$6</definedName>
    <definedName name="Z_D031D499_BDA5_4AC8_BCB5_B4181DDBB501_.wvu.FilterData" localSheetId="8" hidden="1">'SAH-9 (Public)'!$A$6:$J$6</definedName>
    <definedName name="Z_D031D499_BDA5_4AC8_BCB5_B4181DDBB501_.wvu.PrintArea" localSheetId="8" hidden="1">'SAH-9 (Public)'!$A$1:$J$6</definedName>
    <definedName name="Z_D031D499_BDA5_4AC8_BCB5_B4181DDBB501_.wvu.PrintTitles" localSheetId="8" hidden="1">'SAH-9 (Public)'!$6:$6</definedName>
    <definedName name="Z_D0D76CAE_1301_482C_BD9D_4D76B67877B8_.wvu.FilterData" localSheetId="3" hidden="1">'SAH-4 (Public)'!$A$6:$J$6</definedName>
    <definedName name="Z_D0D76CAE_1301_482C_BD9D_4D76B67877B8_.wvu.FilterData" localSheetId="4" hidden="1">'SAH-5 (Public)'!$A$6:$J$6</definedName>
    <definedName name="Z_D0D76CAE_1301_482C_BD9D_4D76B67877B8_.wvu.FilterData" localSheetId="5" hidden="1">'SAH-6 (Public)'!$A$6:$J$6</definedName>
    <definedName name="Z_D0D76CAE_1301_482C_BD9D_4D76B67877B8_.wvu.FilterData" localSheetId="6" hidden="1">'SAH-7 (Public)'!$A$6:$J$6</definedName>
    <definedName name="Z_D24E6820_26D6_40B6_A5EC_1D0C8C88A784_.wvu.FilterData" localSheetId="4" hidden="1">'SAH-5 (Public)'!$A$6:$J$6</definedName>
    <definedName name="Z_D24FC374_7D79_4F92_B2FE_29502F2D82BC_.wvu.FilterData" localSheetId="5" hidden="1">'SAH-6 (Public)'!$A$6:$J$6</definedName>
    <definedName name="Z_D24FC374_7D79_4F92_B2FE_29502F2D82BC_.wvu.FilterData" localSheetId="8" hidden="1">'SAH-9 (Public)'!$A$6:$M$6</definedName>
    <definedName name="Z_D2D00CCD_3681_48FF_915A_745D3190BF02_.wvu.FilterData" localSheetId="4" hidden="1">'SAH-5 (Public)'!$A$6:$J$6</definedName>
    <definedName name="Z_D2D00CCD_3681_48FF_915A_745D3190BF02_.wvu.FilterData" localSheetId="6" hidden="1">'SAH-7 (Public)'!$A$6:$J$6</definedName>
    <definedName name="Z_D2D00CCD_3681_48FF_915A_745D3190BF02_.wvu.PrintArea" localSheetId="4" hidden="1">'SAH-5 (Public)'!$A$1:$J$6</definedName>
    <definedName name="Z_D2D00CCD_3681_48FF_915A_745D3190BF02_.wvu.PrintArea" localSheetId="6" hidden="1">'SAH-7 (Public)'!$A$1:$J$6</definedName>
    <definedName name="Z_D2D00CCD_3681_48FF_915A_745D3190BF02_.wvu.PrintTitles" localSheetId="4" hidden="1">'SAH-5 (Public)'!$6:$6</definedName>
    <definedName name="Z_D424A182_E6BD_44DA_A277_3E09D1DC3D1D_.wvu.FilterData" localSheetId="5" hidden="1">'SAH-6 (Public)'!$A$6:$J$6</definedName>
    <definedName name="Z_D425D2EB_3A2F_45C3_A4D3_AE6975C5C2B1_.wvu.FilterData" localSheetId="8" hidden="1">'SAH-9 (Public)'!$A$6:$J$6</definedName>
    <definedName name="Z_D465D75B_38A9_4EF8_8C99_2205380ABCED_.wvu.FilterData" localSheetId="4" hidden="1">'SAH-5 (Public)'!$A$6:$J$6</definedName>
    <definedName name="Z_D5AD5D75_E3DD_4227_99BE_F5A6704F6E7A_.wvu.FilterData" localSheetId="4" hidden="1">'SAH-5 (Public)'!$A$6:$J$6</definedName>
    <definedName name="Z_D5AD5D75_E3DD_4227_99BE_F5A6704F6E7A_.wvu.FilterData" localSheetId="8" hidden="1">'SAH-9 (Public)'!$A$6:$J$6</definedName>
    <definedName name="Z_D66DB8E2_A71C_4CDC_816A_DF3FF6E5634C_.wvu.FilterData" localSheetId="8" hidden="1">'SAH-9 (Public)'!$A$6:$J$6</definedName>
    <definedName name="Z_D8A4FD9C_5CD2_472A_8E4D_2293AEFFC28C_.wvu.FilterData" localSheetId="3" hidden="1">'SAH-4 (Public)'!$A$6:$J$6</definedName>
    <definedName name="Z_D8A4FD9C_5CD2_472A_8E4D_2293AEFFC28C_.wvu.PrintArea" localSheetId="3" hidden="1">'SAH-4 (Public)'!$A$1:$J$6</definedName>
    <definedName name="Z_D8A4FD9C_5CD2_472A_8E4D_2293AEFFC28C_.wvu.PrintTitles" localSheetId="3" hidden="1">'SAH-4 (Public)'!$6:$6</definedName>
    <definedName name="Z_D8ABD41C_1ABA_496E_9222_A8C069AF842C_.wvu.FilterData" localSheetId="8" hidden="1">'SAH-9 (Public)'!$A$6:$J$6</definedName>
    <definedName name="Z_D8ABD41C_1ABA_496E_9222_A8C069AF842C_.wvu.PrintArea" localSheetId="8" hidden="1">'SAH-9 (Public)'!$A$1:$J$6</definedName>
    <definedName name="Z_D8ABD41C_1ABA_496E_9222_A8C069AF842C_.wvu.PrintTitles" localSheetId="8" hidden="1">'SAH-9 (Public)'!$6:$6</definedName>
    <definedName name="Z_D96E2E41_5F6C_4F9C_AF56_35D5B0DC0FA0_.wvu.FilterData" localSheetId="4" hidden="1">'SAH-5 (Public)'!$A$6:$J$6</definedName>
    <definedName name="Z_DABEBF76_72D5_4795_AC34_A654D4D26CB2_.wvu.FilterData" localSheetId="3" hidden="1">'SAH-4 (Public)'!$A$6:$N$6</definedName>
    <definedName name="Z_DACF8328_3C95_42E5_A75F_CFCAC9F1B375_.wvu.FilterData" localSheetId="8" hidden="1">'SAH-9 (Public)'!$A$6:$J$6</definedName>
    <definedName name="Z_DC138C14_B138_487E_9BB3_8E6A4DA1F1DA_.wvu.FilterData" localSheetId="5" hidden="1">'SAH-6 (Public)'!$A$6:$J$6</definedName>
    <definedName name="Z_DC138C14_B138_487E_9BB3_8E6A4DA1F1DA_.wvu.PrintArea" localSheetId="5" hidden="1">'SAH-6 (Public)'!$A$1:$J$6</definedName>
    <definedName name="Z_DC138C14_B138_487E_9BB3_8E6A4DA1F1DA_.wvu.PrintTitles" localSheetId="5" hidden="1">'SAH-6 (Public)'!$6:$6</definedName>
    <definedName name="Z_DC66E464_7C74_4782_8827_030CB3DB41DE_.wvu.FilterData" localSheetId="4" hidden="1">'SAH-5 (Public)'!$A$6:$J$6</definedName>
    <definedName name="Z_DC66E464_7C74_4782_8827_030CB3DB41DE_.wvu.FilterData" localSheetId="8" hidden="1">'SAH-9 (Public)'!$A$6:$J$6</definedName>
    <definedName name="Z_DC8494F6_8571_4251_8D26_471D2B3BFDFA_.wvu.FilterData" localSheetId="8" hidden="1">'SAH-9 (Public)'!$A$6:$J$6</definedName>
    <definedName name="Z_DD01A211_7597_4AE6_B48F_7DAFD4C8066A_.wvu.FilterData" localSheetId="8" hidden="1">'SAH-9 (Public)'!$A$6:$J$6</definedName>
    <definedName name="Z_DE9C4454_EBC1_4F76_849A_3398392C0476_.wvu.FilterData" localSheetId="8" hidden="1">'SAH-9 (Public)'!$A$6:$J$6</definedName>
    <definedName name="Z_DE9C4454_EBC1_4F76_849A_3398392C0476_.wvu.PrintArea" localSheetId="8" hidden="1">'SAH-9 (Public)'!$A$1:$J$6</definedName>
    <definedName name="Z_DE9C4454_EBC1_4F76_849A_3398392C0476_.wvu.PrintTitles" localSheetId="8" hidden="1">'SAH-9 (Public)'!$6:$6</definedName>
    <definedName name="Z_DEE04897_6CF5_47FE_9105_B3DC56AE29AC_.wvu.Cols" localSheetId="3" hidden="1">'SAH-4 (Public)'!#REF!,'SAH-4 (Public)'!#REF!</definedName>
    <definedName name="Z_DEE04897_6CF5_47FE_9105_B3DC56AE29AC_.wvu.FilterData" localSheetId="3" hidden="1">'SAH-4 (Public)'!$A$6:$J$6</definedName>
    <definedName name="Z_DEE04897_6CF5_47FE_9105_B3DC56AE29AC_.wvu.PrintTitles" localSheetId="3" hidden="1">'SAH-4 (Public)'!$6:$6</definedName>
    <definedName name="Z_DF7527FD_AD57_4F5D_9E4F_B88E05368746_.wvu.FilterData" localSheetId="4" hidden="1">'SAH-5 (Public)'!$A$6:$J$6</definedName>
    <definedName name="Z_DF7527FD_AD57_4F5D_9E4F_B88E05368746_.wvu.FilterData" localSheetId="5" hidden="1">'SAH-6 (Public)'!$A$6:$J$6</definedName>
    <definedName name="Z_DF821A81_16A1_4723_A0C3_A254C9BA471C_.wvu.FilterData" localSheetId="3" hidden="1">'SAH-4 (Public)'!$A$6:$N$6</definedName>
    <definedName name="Z_DF821A81_16A1_4723_A0C3_A254C9BA471C_.wvu.PrintArea" localSheetId="3" hidden="1">'SAH-4 (Public)'!$A$1:$J$6</definedName>
    <definedName name="Z_DF821A81_16A1_4723_A0C3_A254C9BA471C_.wvu.PrintTitles" localSheetId="3" hidden="1">'SAH-4 (Public)'!$6:$6</definedName>
    <definedName name="Z_E026B599_6D09_4035_BFBA_A72DAC35376F_.wvu.FilterData" localSheetId="5" hidden="1">'SAH-6 (Public)'!$A$6:$J$6</definedName>
    <definedName name="Z_E24ACDDD_F6DB_4383_853F_5445B321AA21_.wvu.Cols" localSheetId="4" hidden="1">'SAH-5 (Public)'!#REF!</definedName>
    <definedName name="Z_E24ACDDD_F6DB_4383_853F_5445B321AA21_.wvu.Cols" localSheetId="5" hidden="1">'SAH-6 (Public)'!#REF!</definedName>
    <definedName name="Z_E24ACDDD_F6DB_4383_853F_5445B321AA21_.wvu.FilterData" localSheetId="3" hidden="1">'SAH-4 (Public)'!$A$6:$N$6</definedName>
    <definedName name="Z_E24ACDDD_F6DB_4383_853F_5445B321AA21_.wvu.FilterData" localSheetId="4" hidden="1">'SAH-5 (Public)'!$A$6:$J$6</definedName>
    <definedName name="Z_E24ACDDD_F6DB_4383_853F_5445B321AA21_.wvu.FilterData" localSheetId="5" hidden="1">'SAH-6 (Public)'!$A$6:$J$6</definedName>
    <definedName name="Z_E24ACDDD_F6DB_4383_853F_5445B321AA21_.wvu.FilterData" localSheetId="6" hidden="1">'SAH-7 (Public)'!$A$6:$J$6</definedName>
    <definedName name="Z_E24ACDDD_F6DB_4383_853F_5445B321AA21_.wvu.FilterData" localSheetId="8" hidden="1">'SAH-9 (Public)'!$A$6:$M$6</definedName>
    <definedName name="Z_E24ACDDD_F6DB_4383_853F_5445B321AA21_.wvu.PrintTitles" localSheetId="3" hidden="1">'SAH-4 (Public)'!$6:$6</definedName>
    <definedName name="Z_E24ACDDD_F6DB_4383_853F_5445B321AA21_.wvu.PrintTitles" localSheetId="4" hidden="1">'SAH-5 (Public)'!$6:$6</definedName>
    <definedName name="Z_E24ACDDD_F6DB_4383_853F_5445B321AA21_.wvu.PrintTitles" localSheetId="5" hidden="1">'SAH-6 (Public)'!$6:$6</definedName>
    <definedName name="Z_E24ACDDD_F6DB_4383_853F_5445B321AA21_.wvu.PrintTitles" localSheetId="6" hidden="1">'SAH-7 (Public)'!$6:$6</definedName>
    <definedName name="Z_E24ACDDD_F6DB_4383_853F_5445B321AA21_.wvu.PrintTitles" localSheetId="8" hidden="1">'SAH-9 (Public)'!$6:$6</definedName>
    <definedName name="Z_E308F224_E69D_4656_A383_71B877523CA2_.wvu.FilterData" localSheetId="4" hidden="1">'SAH-5 (Public)'!$A$6:$J$6</definedName>
    <definedName name="Z_E308F224_E69D_4656_A383_71B877523CA2_.wvu.FilterData" localSheetId="5" hidden="1">'SAH-6 (Public)'!$A$6:$J$6</definedName>
    <definedName name="Z_E427927A_BA62_4EC8_9C82_8519C9B28760_.wvu.FilterData" localSheetId="4" hidden="1">'SAH-5 (Public)'!$A$6:$J$6</definedName>
    <definedName name="Z_E427927A_BA62_4EC8_9C82_8519C9B28760_.wvu.FilterData" localSheetId="5" hidden="1">'SAH-6 (Public)'!$A$6:$J$6</definedName>
    <definedName name="Z_E8B46EF1_EDCE_4BDF_AA3B_FCCF66C5E633_.wvu.FilterData" localSheetId="3" hidden="1">'SAH-4 (Public)'!$A$6:$J$6</definedName>
    <definedName name="Z_E8B46EF1_EDCE_4BDF_AA3B_FCCF66C5E633_.wvu.PrintArea" localSheetId="3" hidden="1">'SAH-4 (Public)'!$A$1:$J$6</definedName>
    <definedName name="Z_E8B46EF1_EDCE_4BDF_AA3B_FCCF66C5E633_.wvu.PrintTitles" localSheetId="3" hidden="1">'SAH-4 (Public)'!$6:$6</definedName>
    <definedName name="Z_EA2FCCE8_966F_4508_8280_57E4C3CF4C2D_.wvu.FilterData" localSheetId="8" hidden="1">'SAH-9 (Public)'!$A$6:$J$6</definedName>
    <definedName name="Z_EA2FCCE8_966F_4508_8280_57E4C3CF4C2D_.wvu.PrintArea" localSheetId="8" hidden="1">'SAH-9 (Public)'!$A$1:$J$6</definedName>
    <definedName name="Z_EA2FCCE8_966F_4508_8280_57E4C3CF4C2D_.wvu.PrintTitles" localSheetId="8" hidden="1">'SAH-9 (Public)'!$6:$6</definedName>
    <definedName name="Z_EB526520_F205_414B_A873_74F1432C16F8_.wvu.FilterData" localSheetId="3" hidden="1">'SAH-4 (Public)'!$A$6:$J$6</definedName>
    <definedName name="Z_EB526520_F205_414B_A873_74F1432C16F8_.wvu.PrintTitles" localSheetId="3" hidden="1">'SAH-4 (Public)'!$6:$6</definedName>
    <definedName name="Z_EB7EFF93_53A7_4E27_804B_EC4DFAEC8A1C_.wvu.FilterData" localSheetId="8" hidden="1">'SAH-9 (Public)'!$A$6:$J$6</definedName>
    <definedName name="Z_EC32BC59_5D12_44A5_BBEE_19FA971C80BF_.wvu.FilterData" localSheetId="3" hidden="1">'SAH-4 (Public)'!$A$6:$J$6</definedName>
    <definedName name="Z_ECC1B032_6E20_438D_8F23_F7CC617542B1_.wvu.FilterData" localSheetId="6" hidden="1">'SAH-7 (Public)'!$A$6:$J$6</definedName>
    <definedName name="Z_ECC1B032_6E20_438D_8F23_F7CC617542B1_.wvu.PrintTitles" localSheetId="6" hidden="1">'SAH-7 (Public)'!$6:$6</definedName>
    <definedName name="Z_ECCCB3DF_46E2_4F1B_87EC_070A22FFD7B2_.wvu.FilterData" localSheetId="8" hidden="1">'SAH-9 (Public)'!$A$6:$J$6</definedName>
    <definedName name="Z_ED3AA2B2_81A9_4D9B_BDD3_FA3AD93BBDE4_.wvu.FilterData" localSheetId="3" hidden="1">'SAH-4 (Public)'!$A$6:$J$6</definedName>
    <definedName name="Z_ED3AA2B2_81A9_4D9B_BDD3_FA3AD93BBDE4_.wvu.FilterData" localSheetId="4" hidden="1">'SAH-5 (Public)'!$A$6:$J$6</definedName>
    <definedName name="Z_ED3AA2B2_81A9_4D9B_BDD3_FA3AD93BBDE4_.wvu.FilterData" localSheetId="5" hidden="1">'SAH-6 (Public)'!$A$6:$J$6</definedName>
    <definedName name="Z_ED3AA2B2_81A9_4D9B_BDD3_FA3AD93BBDE4_.wvu.FilterData" localSheetId="6" hidden="1">'SAH-7 (Public)'!$A$6:$J$6</definedName>
    <definedName name="Z_ED3AA2B2_81A9_4D9B_BDD3_FA3AD93BBDE4_.wvu.FilterData" localSheetId="8" hidden="1">'SAH-9 (Public)'!$A$6:$J$6</definedName>
    <definedName name="Z_ED3AA2B2_81A9_4D9B_BDD3_FA3AD93BBDE4_.wvu.PrintTitles" localSheetId="3" hidden="1">'SAH-4 (Public)'!$6:$6</definedName>
    <definedName name="Z_ED3AA2B2_81A9_4D9B_BDD3_FA3AD93BBDE4_.wvu.PrintTitles" localSheetId="4" hidden="1">'SAH-5 (Public)'!$6:$6</definedName>
    <definedName name="Z_ED3AA2B2_81A9_4D9B_BDD3_FA3AD93BBDE4_.wvu.PrintTitles" localSheetId="5" hidden="1">'SAH-6 (Public)'!$6:$6</definedName>
    <definedName name="Z_ED3AA2B2_81A9_4D9B_BDD3_FA3AD93BBDE4_.wvu.PrintTitles" localSheetId="6" hidden="1">'SAH-7 (Public)'!$6:$6</definedName>
    <definedName name="Z_ED3AA2B2_81A9_4D9B_BDD3_FA3AD93BBDE4_.wvu.PrintTitles" localSheetId="8" hidden="1">'SAH-9 (Public)'!$6:$6</definedName>
    <definedName name="Z_EDD09E71_BC44_4692_9A9E_457B071BD673_.wvu.FilterData" localSheetId="8" hidden="1">'SAH-9 (Public)'!$A$6:$J$6</definedName>
    <definedName name="Z_EDD09E71_BC44_4692_9A9E_457B071BD673_.wvu.PrintArea" localSheetId="8" hidden="1">'SAH-9 (Public)'!$A$1:$J$6</definedName>
    <definedName name="Z_EDD09E71_BC44_4692_9A9E_457B071BD673_.wvu.PrintTitles" localSheetId="8" hidden="1">'SAH-9 (Public)'!$6:$6</definedName>
    <definedName name="Z_EE3B9658_8FFF_4700_909F_3CD92A37145F_.wvu.FilterData" localSheetId="5" hidden="1">'SAH-6 (Public)'!$D$1:$D$6</definedName>
    <definedName name="Z_EE64F8A8_4F34_41CE_A3C7_44807AA96ACC_.wvu.FilterData" localSheetId="8" hidden="1">'SAH-9 (Public)'!$A$6:$J$6</definedName>
    <definedName name="Z_EE76F9E3_B777_4CE3_9C92_619FB81D17B6_.wvu.FilterData" localSheetId="3" hidden="1">'SAH-4 (Public)'!$A$6:$J$6</definedName>
    <definedName name="Z_EE76F9E3_B777_4CE3_9C92_619FB81D17B6_.wvu.FilterData" localSheetId="4" hidden="1">'SAH-5 (Public)'!$A$6:$J$6</definedName>
    <definedName name="Z_F02B6557_C131_450F_98F0_03E335891D45_.wvu.FilterData" localSheetId="8" hidden="1">'SAH-9 (Public)'!$A$6:$J$6</definedName>
    <definedName name="Z_F04C8704_A2AF_4D7B_9B77_617209A95F89_.wvu.PrintArea" localSheetId="3" hidden="1">'SAH-4 (Public)'!$A$1:$A$5</definedName>
    <definedName name="Z_F04C8704_A2AF_4D7B_9B77_617209A95F89_.wvu.PrintArea" localSheetId="4" hidden="1">'SAH-5 (Public)'!$A$1:$A$5</definedName>
    <definedName name="Z_F04C8704_A2AF_4D7B_9B77_617209A95F89_.wvu.PrintArea" localSheetId="5" hidden="1">'SAH-6 (Public)'!$A$1:$C$6</definedName>
    <definedName name="Z_F04C8704_A2AF_4D7B_9B77_617209A95F89_.wvu.PrintArea" localSheetId="6" hidden="1">'SAH-7 (Public)'!$A$1:$A$5</definedName>
    <definedName name="Z_F04C8704_A2AF_4D7B_9B77_617209A95F89_.wvu.PrintArea" localSheetId="8" hidden="1">'SAH-9 (Public)'!$A$1:$A$6</definedName>
    <definedName name="Z_F0B13939_5C4A_46CF_90DB_60E79582D666_.wvu.PrintArea" localSheetId="3" hidden="1">'SAH-4 (Public)'!$A$1:$A$5</definedName>
    <definedName name="Z_F0B13939_5C4A_46CF_90DB_60E79582D666_.wvu.PrintArea" localSheetId="4" hidden="1">'SAH-5 (Public)'!$A$1:$A$5</definedName>
    <definedName name="Z_F0B13939_5C4A_46CF_90DB_60E79582D666_.wvu.PrintArea" localSheetId="5" hidden="1">'SAH-6 (Public)'!$A$1:$C$6</definedName>
    <definedName name="Z_F0B13939_5C4A_46CF_90DB_60E79582D666_.wvu.PrintArea" localSheetId="6" hidden="1">'SAH-7 (Public)'!$A$1:$A$5</definedName>
    <definedName name="Z_F0B13939_5C4A_46CF_90DB_60E79582D666_.wvu.PrintArea" localSheetId="8" hidden="1">'SAH-9 (Public)'!$A$1:$A$6</definedName>
    <definedName name="Z_F0BBBF62_CD88_4704_9C0E_AB24B85F3A13_.wvu.Cols" localSheetId="3" hidden="1">'SAH-4 (Public)'!#REF!,'SAH-4 (Public)'!#REF!</definedName>
    <definedName name="Z_F0BBBF62_CD88_4704_9C0E_AB24B85F3A13_.wvu.Cols" localSheetId="4" hidden="1">'SAH-5 (Public)'!#REF!,'SAH-5 (Public)'!#REF!,'SAH-5 (Public)'!#REF!</definedName>
    <definedName name="Z_F0BBBF62_CD88_4704_9C0E_AB24B85F3A13_.wvu.Cols" localSheetId="5" hidden="1">'SAH-6 (Public)'!#REF!,'SAH-6 (Public)'!#REF!</definedName>
    <definedName name="Z_F0BBBF62_CD88_4704_9C0E_AB24B85F3A13_.wvu.Cols" localSheetId="6" hidden="1">'SAH-7 (Public)'!#REF!,'SAH-7 (Public)'!#REF!,'SAH-7 (Public)'!#REF!</definedName>
    <definedName name="Z_F0BBBF62_CD88_4704_9C0E_AB24B85F3A13_.wvu.FilterData" localSheetId="3" hidden="1">'SAH-4 (Public)'!$A$6:$J$6</definedName>
    <definedName name="Z_F0BBBF62_CD88_4704_9C0E_AB24B85F3A13_.wvu.FilterData" localSheetId="4" hidden="1">'SAH-5 (Public)'!$A$6:$J$6</definedName>
    <definedName name="Z_F0BBBF62_CD88_4704_9C0E_AB24B85F3A13_.wvu.FilterData" localSheetId="5" hidden="1">'SAH-6 (Public)'!$A$6:$J$6</definedName>
    <definedName name="Z_F0BBBF62_CD88_4704_9C0E_AB24B85F3A13_.wvu.FilterData" localSheetId="6" hidden="1">'SAH-7 (Public)'!$A$6:$H$6</definedName>
    <definedName name="Z_F0BBBF62_CD88_4704_9C0E_AB24B85F3A13_.wvu.FilterData" localSheetId="8" hidden="1">'SAH-9 (Public)'!$A$6:$J$6</definedName>
    <definedName name="Z_F0BBBF62_CD88_4704_9C0E_AB24B85F3A13_.wvu.PrintArea" localSheetId="3" hidden="1">'SAH-4 (Public)'!$A$1:$J$6</definedName>
    <definedName name="Z_F0BBBF62_CD88_4704_9C0E_AB24B85F3A13_.wvu.PrintArea" localSheetId="4" hidden="1">'SAH-5 (Public)'!$A$1:$J$6</definedName>
    <definedName name="Z_F0BBBF62_CD88_4704_9C0E_AB24B85F3A13_.wvu.PrintArea" localSheetId="5" hidden="1">'SAH-6 (Public)'!$A$1:$J$6</definedName>
    <definedName name="Z_F0BBBF62_CD88_4704_9C0E_AB24B85F3A13_.wvu.PrintArea" localSheetId="6" hidden="1">'SAH-7 (Public)'!$A$1:$J$6</definedName>
    <definedName name="Z_F0BBBF62_CD88_4704_9C0E_AB24B85F3A13_.wvu.PrintArea" localSheetId="8" hidden="1">'SAH-9 (Public)'!$A$1:$J$6</definedName>
    <definedName name="Z_F0BBBF62_CD88_4704_9C0E_AB24B85F3A13_.wvu.PrintTitles" localSheetId="3" hidden="1">'SAH-4 (Public)'!$6:$6</definedName>
    <definedName name="Z_F0BBBF62_CD88_4704_9C0E_AB24B85F3A13_.wvu.PrintTitles" localSheetId="4" hidden="1">'SAH-5 (Public)'!$6:$6</definedName>
    <definedName name="Z_F0BBBF62_CD88_4704_9C0E_AB24B85F3A13_.wvu.PrintTitles" localSheetId="5" hidden="1">'SAH-6 (Public)'!$6:$6</definedName>
    <definedName name="Z_F0BBBF62_CD88_4704_9C0E_AB24B85F3A13_.wvu.PrintTitles" localSheetId="8" hidden="1">'SAH-9 (Public)'!$6:$6</definedName>
    <definedName name="Z_F0BBBF62_CD88_4704_9C0E_AB24B85F3A13_.wvu.Rows" localSheetId="5" hidden="1">'SAH-6 (Public)'!#REF!</definedName>
    <definedName name="Z_F0BBBF62_CD88_4704_9C0E_AB24B85F3A13_.wvu.Rows" localSheetId="8" hidden="1">'SAH-9 (Public)'!#REF!</definedName>
    <definedName name="Z_F0FE5CF3_11F3_4862_A151_54B390079D16_.wvu.FilterData" localSheetId="3" hidden="1">'SAH-4 (Public)'!$A$6:$N$6</definedName>
    <definedName name="Z_F0FE5CF3_11F3_4862_A151_54B390079D16_.wvu.FilterData" localSheetId="4" hidden="1">'SAH-5 (Public)'!$A$6:$J$6</definedName>
    <definedName name="Z_F1C44470_10F3_4BCC_B978_7054A4F006DD_.wvu.FilterData" localSheetId="4" hidden="1">'SAH-5 (Public)'!$A$6:$J$6</definedName>
    <definedName name="Z_F1F399F5_F6F5_474B_9376_212FCBD97D3C_.wvu.FilterData" localSheetId="5" hidden="1">'SAH-6 (Public)'!$A$6:$J$6</definedName>
    <definedName name="Z_F2160B5D_5715_4007_AE53_9176C87D3292_.wvu.FilterData" localSheetId="8" hidden="1">'SAH-9 (Public)'!$A$6:$J$6</definedName>
    <definedName name="Z_F2160B5D_5715_4007_AE53_9176C87D3292_.wvu.PrintArea" localSheetId="8" hidden="1">'SAH-9 (Public)'!$A$1:$J$6</definedName>
    <definedName name="Z_F2160B5D_5715_4007_AE53_9176C87D3292_.wvu.PrintTitles" localSheetId="8" hidden="1">'SAH-9 (Public)'!$6:$6</definedName>
    <definedName name="Z_F27AA6A0_AC80_4CB0_8E57_178AEEED054D_.wvu.FilterData" localSheetId="3" hidden="1">'SAH-4 (Public)'!$A$6:$N$6</definedName>
    <definedName name="Z_F27AA6A0_AC80_4CB0_8E57_178AEEED054D_.wvu.FilterData" localSheetId="4" hidden="1">'SAH-5 (Public)'!$A$6:$J$6</definedName>
    <definedName name="Z_F27AA6A0_AC80_4CB0_8E57_178AEEED054D_.wvu.FilterData" localSheetId="5" hidden="1">'SAH-6 (Public)'!$A$6:$J$6</definedName>
    <definedName name="Z_F27AA6A0_AC80_4CB0_8E57_178AEEED054D_.wvu.FilterData" localSheetId="6" hidden="1">'SAH-7 (Public)'!$A$6:$J$6</definedName>
    <definedName name="Z_F27AA6A0_AC80_4CB0_8E57_178AEEED054D_.wvu.FilterData" localSheetId="8" hidden="1">'SAH-9 (Public)'!$A$6:$CI$6</definedName>
    <definedName name="Z_F27AA6A0_AC80_4CB0_8E57_178AEEED054D_.wvu.PrintArea" localSheetId="4" hidden="1">'SAH-5 (Public)'!$A$1:$J$6</definedName>
    <definedName name="Z_F27AA6A0_AC80_4CB0_8E57_178AEEED054D_.wvu.PrintArea" localSheetId="5" hidden="1">'SAH-6 (Public)'!$A$1:$J$6</definedName>
    <definedName name="Z_F27AA6A0_AC80_4CB0_8E57_178AEEED054D_.wvu.PrintArea" localSheetId="8" hidden="1">'SAH-9 (Public)'!$A$1:$J$6</definedName>
    <definedName name="Z_F27AA6A0_AC80_4CB0_8E57_178AEEED054D_.wvu.PrintTitles" localSheetId="3" hidden="1">'SAH-4 (Public)'!$1:$6</definedName>
    <definedName name="Z_F27AA6A0_AC80_4CB0_8E57_178AEEED054D_.wvu.PrintTitles" localSheetId="4" hidden="1">'SAH-5 (Public)'!$1:$6</definedName>
    <definedName name="Z_F27AA6A0_AC80_4CB0_8E57_178AEEED054D_.wvu.PrintTitles" localSheetId="5" hidden="1">'SAH-6 (Public)'!$1:$6</definedName>
    <definedName name="Z_F27AA6A0_AC80_4CB0_8E57_178AEEED054D_.wvu.PrintTitles" localSheetId="6" hidden="1">'SAH-7 (Public)'!$1:$6</definedName>
    <definedName name="Z_F27AA6A0_AC80_4CB0_8E57_178AEEED054D_.wvu.PrintTitles" localSheetId="8" hidden="1">'SAH-9 (Public)'!$1:$6</definedName>
    <definedName name="Z_F29D4108_31FD_471C_A9C3_96332BA71368_.wvu.FilterData" localSheetId="3" hidden="1">'SAH-4 (Public)'!$A$6:$J$6</definedName>
    <definedName name="Z_F29D4108_31FD_471C_A9C3_96332BA71368_.wvu.PrintArea" localSheetId="3" hidden="1">'SAH-4 (Public)'!$A$1:$J$6</definedName>
    <definedName name="Z_F29D4108_31FD_471C_A9C3_96332BA71368_.wvu.PrintTitles" localSheetId="3" hidden="1">'SAH-4 (Public)'!$6:$6</definedName>
    <definedName name="Z_F2C83607_5381_4D95_A9A2_3272BFE9E80B_.wvu.FilterData" localSheetId="3" hidden="1">'SAH-4 (Public)'!$A$6:$N$6</definedName>
    <definedName name="Z_F2C83607_5381_4D95_A9A2_3272BFE9E80B_.wvu.FilterData" localSheetId="8" hidden="1">'SAH-9 (Public)'!$A$6:$M$6</definedName>
    <definedName name="Z_F31F2B7C_3501_49B7_97D1_6E3BEECEF4C9_.wvu.FilterData" localSheetId="8" hidden="1">'SAH-9 (Public)'!$A$6:$J$6</definedName>
    <definedName name="Z_F31F2B7C_3501_49B7_97D1_6E3BEECEF4C9_.wvu.PrintArea" localSheetId="8" hidden="1">'SAH-9 (Public)'!$A$1:$J$6</definedName>
    <definedName name="Z_F31F2B7C_3501_49B7_97D1_6E3BEECEF4C9_.wvu.PrintTitles" localSheetId="8" hidden="1">'SAH-9 (Public)'!$6:$6</definedName>
    <definedName name="Z_F3978083_7383_4B8D_93F4_C8C72276C76B_.wvu.Cols" localSheetId="6" hidden="1">'SAH-7 (Public)'!#REF!</definedName>
    <definedName name="Z_F3978083_7383_4B8D_93F4_C8C72276C76B_.wvu.FilterData" localSheetId="6" hidden="1">'SAH-7 (Public)'!$A$6:$J$6</definedName>
    <definedName name="Z_F3978083_7383_4B8D_93F4_C8C72276C76B_.wvu.PrintTitles" localSheetId="6" hidden="1">'SAH-7 (Public)'!$6:$6</definedName>
    <definedName name="Z_F436209F_351A_4D8E_972C_EF1BA8322DF0_.wvu.FilterData" localSheetId="3" hidden="1">'SAH-4 (Public)'!$A$6:$N$6</definedName>
    <definedName name="Z_F5C0B4E6_49B4_4983_ADF5_8C5C0DC65A51_.wvu.FilterData" localSheetId="3" hidden="1">'SAH-4 (Public)'!$A$6:$N$6</definedName>
    <definedName name="Z_F5C0B4E6_49B4_4983_ADF5_8C5C0DC65A51_.wvu.FilterData" localSheetId="4" hidden="1">'SAH-5 (Public)'!$A$6:$J$6</definedName>
    <definedName name="Z_F5C0B4E6_49B4_4983_ADF5_8C5C0DC65A51_.wvu.FilterData" localSheetId="5" hidden="1">'SAH-6 (Public)'!$A$6:$J$6</definedName>
    <definedName name="Z_F5C0B4E6_49B4_4983_ADF5_8C5C0DC65A51_.wvu.FilterData" localSheetId="6" hidden="1">'SAH-7 (Public)'!$A$6:$J$6</definedName>
    <definedName name="Z_F5C0B4E6_49B4_4983_ADF5_8C5C0DC65A51_.wvu.FilterData" localSheetId="8" hidden="1">'SAH-9 (Public)'!$A$6:$CI$6</definedName>
    <definedName name="Z_F5C0B4E6_49B4_4983_ADF5_8C5C0DC65A51_.wvu.PrintArea" localSheetId="3" hidden="1">'SAH-4 (Public)'!$A$1:$J$6</definedName>
    <definedName name="Z_F5C0B4E6_49B4_4983_ADF5_8C5C0DC65A51_.wvu.PrintArea" localSheetId="4" hidden="1">'SAH-5 (Public)'!$A$1:$J$6</definedName>
    <definedName name="Z_F5C0B4E6_49B4_4983_ADF5_8C5C0DC65A51_.wvu.PrintArea" localSheetId="5" hidden="1">'SAH-6 (Public)'!$A$1:$J$6</definedName>
    <definedName name="Z_F5C0B4E6_49B4_4983_ADF5_8C5C0DC65A51_.wvu.PrintArea" localSheetId="6" hidden="1">'SAH-7 (Public)'!$A$1:$J$6</definedName>
    <definedName name="Z_F5C0B4E6_49B4_4983_ADF5_8C5C0DC65A51_.wvu.PrintArea" localSheetId="8" hidden="1">'SAH-9 (Public)'!$A$1:$J$6</definedName>
    <definedName name="Z_F5C0B4E6_49B4_4983_ADF5_8C5C0DC65A51_.wvu.PrintTitles" localSheetId="3" hidden="1">'SAH-4 (Public)'!$1:$6</definedName>
    <definedName name="Z_F5C0B4E6_49B4_4983_ADF5_8C5C0DC65A51_.wvu.PrintTitles" localSheetId="4" hidden="1">'SAH-5 (Public)'!$1:$6</definedName>
    <definedName name="Z_F5C0B4E6_49B4_4983_ADF5_8C5C0DC65A51_.wvu.PrintTitles" localSheetId="5" hidden="1">'SAH-6 (Public)'!$1:$6</definedName>
    <definedName name="Z_F5C0B4E6_49B4_4983_ADF5_8C5C0DC65A51_.wvu.PrintTitles" localSheetId="6" hidden="1">'SAH-7 (Public)'!$1:$6</definedName>
    <definedName name="Z_F5C0B4E6_49B4_4983_ADF5_8C5C0DC65A51_.wvu.PrintTitles" localSheetId="8" hidden="1">'SAH-9 (Public)'!$1:$6</definedName>
    <definedName name="Z_F8FDCEAF_4E7B_4BD8_9CFA_7D5015A3C81D_.wvu.FilterData" localSheetId="8" hidden="1">'SAH-9 (Public)'!$A$6:$J$6</definedName>
    <definedName name="Z_F8FDCEAF_4E7B_4BD8_9CFA_7D5015A3C81D_.wvu.PrintArea" localSheetId="8" hidden="1">'SAH-9 (Public)'!$A$1:$J$6</definedName>
    <definedName name="Z_F8FDCEAF_4E7B_4BD8_9CFA_7D5015A3C81D_.wvu.PrintTitles" localSheetId="8" hidden="1">'SAH-9 (Public)'!$6:$6</definedName>
    <definedName name="Z_F937C277_0C76_46FC_BEF5_47A8E3A09B15_.wvu.FilterData" localSheetId="3" hidden="1">'SAH-4 (Public)'!$A$6:$N$6</definedName>
    <definedName name="Z_F9B68B3C_E9F1_4632_A2FE_DAFFEC0D41B8_.wvu.FilterData" localSheetId="6" hidden="1">'SAH-7 (Public)'!$A$6:$J$6</definedName>
    <definedName name="Z_FA857847_E863_4C47_B6E1_3C89340FBCC5_.wvu.FilterData" localSheetId="8" hidden="1">'SAH-9 (Public)'!$A$6:$M$6</definedName>
    <definedName name="Z_FAA587B1_C6BC_4D4A_853A_2ED80F0542F4_.wvu.FilterData" localSheetId="4" hidden="1">'SAH-5 (Public)'!$A$6:$J$6</definedName>
    <definedName name="Z_FAA587B1_C6BC_4D4A_853A_2ED80F0542F4_.wvu.FilterData" localSheetId="6" hidden="1">'SAH-7 (Public)'!$A$6:$J$6</definedName>
    <definedName name="Z_FB594389_660B_46BF_9D94_FE0FAF218456_.wvu.FilterData" localSheetId="3" hidden="1">'SAH-4 (Public)'!$A$6:$J$6</definedName>
    <definedName name="Z_FB594389_660B_46BF_9D94_FE0FAF218456_.wvu.FilterData" localSheetId="4" hidden="1">'SAH-5 (Public)'!$A$6:$J$6</definedName>
    <definedName name="Z_FB594389_660B_46BF_9D94_FE0FAF218456_.wvu.FilterData" localSheetId="5" hidden="1">'SAH-6 (Public)'!$A$6:$J$6</definedName>
    <definedName name="Z_FB594389_660B_46BF_9D94_FE0FAF218456_.wvu.FilterData" localSheetId="8" hidden="1">'SAH-9 (Public)'!$A$6:$J$6</definedName>
    <definedName name="Z_FB594389_660B_46BF_9D94_FE0FAF218456_.wvu.PrintArea" localSheetId="3" hidden="1">'SAH-4 (Public)'!$A$1:$J$6</definedName>
    <definedName name="Z_FB594389_660B_46BF_9D94_FE0FAF218456_.wvu.PrintArea" localSheetId="4" hidden="1">'SAH-5 (Public)'!$A$1:$J$6</definedName>
    <definedName name="Z_FB594389_660B_46BF_9D94_FE0FAF218456_.wvu.PrintArea" localSheetId="5" hidden="1">'SAH-6 (Public)'!$A$1:$J$6</definedName>
    <definedName name="Z_FB594389_660B_46BF_9D94_FE0FAF218456_.wvu.PrintArea" localSheetId="8" hidden="1">'SAH-9 (Public)'!$A$1:$J$6</definedName>
    <definedName name="Z_FB594389_660B_46BF_9D94_FE0FAF218456_.wvu.PrintTitles" localSheetId="3" hidden="1">'SAH-4 (Public)'!$6:$6</definedName>
    <definedName name="Z_FB594389_660B_46BF_9D94_FE0FAF218456_.wvu.PrintTitles" localSheetId="4" hidden="1">'SAH-5 (Public)'!$6:$6</definedName>
    <definedName name="Z_FB594389_660B_46BF_9D94_FE0FAF218456_.wvu.PrintTitles" localSheetId="5" hidden="1">'SAH-6 (Public)'!$6:$6</definedName>
    <definedName name="Z_FB594389_660B_46BF_9D94_FE0FAF218456_.wvu.PrintTitles" localSheetId="8" hidden="1">'SAH-9 (Public)'!$6:$6</definedName>
    <definedName name="Z_FCA934A3_A022_4C2F_9E08_416EF825036D_.wvu.Cols" localSheetId="3" hidden="1">'SAH-4 (Public)'!#REF!,'SAH-4 (Public)'!#REF!</definedName>
    <definedName name="Z_FCA934A3_A022_4C2F_9E08_416EF825036D_.wvu.FilterData" localSheetId="3" hidden="1">'SAH-4 (Public)'!$A$6:$J$6</definedName>
    <definedName name="Z_FCA934A3_A022_4C2F_9E08_416EF825036D_.wvu.PrintTitles" localSheetId="3" hidden="1">'SAH-4 (Public)'!$6:$6</definedName>
    <definedName name="Z_FEC3B526_F020_4D0A_A2F5_ADA86C546E3E_.wvu.FilterData" localSheetId="8" hidden="1">'SAH-9 (Public)'!$A$6:$G$6</definedName>
    <definedName name="Z_FEC3B526_F020_4D0A_A2F5_ADA86C546E3E_.wvu.PrintArea" localSheetId="8" hidden="1">'SAH-9 (Public)'!$A$1:$G$6</definedName>
    <definedName name="Z_FEC3B526_F020_4D0A_A2F5_ADA86C546E3E_.wvu.PrintTitles" localSheetId="8" hidden="1">'SAH-9 (Public)'!$6:$6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42" i="13" l="1"/>
  <c r="AC242" i="13"/>
  <c r="AB242" i="13"/>
  <c r="AA242" i="13"/>
  <c r="Z242" i="13"/>
  <c r="Y242" i="13"/>
  <c r="X242" i="13"/>
  <c r="W242" i="13"/>
  <c r="V242" i="13"/>
  <c r="U242" i="13"/>
  <c r="T242" i="13"/>
  <c r="S242" i="13"/>
  <c r="R242" i="13"/>
  <c r="Q242" i="13"/>
  <c r="P242" i="13"/>
  <c r="O242" i="13"/>
  <c r="M242" i="13"/>
  <c r="L242" i="13"/>
  <c r="K242" i="13"/>
  <c r="J242" i="13"/>
  <c r="I241" i="13"/>
  <c r="H239" i="13"/>
  <c r="G239" i="13"/>
  <c r="H238" i="13"/>
  <c r="F238" i="13"/>
  <c r="G237" i="13"/>
  <c r="G234" i="13"/>
  <c r="F234" i="13"/>
  <c r="G233" i="13"/>
  <c r="F233" i="13"/>
  <c r="G232" i="13"/>
  <c r="G231" i="13"/>
  <c r="G230" i="13"/>
  <c r="F230" i="13"/>
  <c r="H229" i="13"/>
  <c r="G229" i="13"/>
  <c r="F229" i="13"/>
  <c r="G228" i="13"/>
  <c r="G226" i="13"/>
  <c r="F226" i="13"/>
  <c r="H222" i="13"/>
  <c r="G222" i="13"/>
  <c r="F222" i="13"/>
  <c r="H221" i="13"/>
  <c r="G221" i="13"/>
  <c r="H220" i="13"/>
  <c r="G220" i="13"/>
  <c r="F220" i="13"/>
  <c r="H219" i="13"/>
  <c r="G219" i="13"/>
  <c r="F219" i="13"/>
  <c r="H218" i="13"/>
  <c r="G218" i="13"/>
  <c r="F218" i="13"/>
  <c r="G217" i="13"/>
  <c r="F217" i="13"/>
  <c r="G216" i="13"/>
  <c r="H215" i="13"/>
  <c r="G215" i="13"/>
  <c r="F215" i="13"/>
  <c r="G213" i="13"/>
  <c r="F213" i="13"/>
  <c r="F212" i="13"/>
  <c r="G211" i="13"/>
  <c r="G207" i="13"/>
  <c r="G206" i="13"/>
  <c r="F206" i="13"/>
  <c r="H205" i="13"/>
  <c r="G205" i="13"/>
  <c r="F205" i="13"/>
  <c r="G204" i="13"/>
  <c r="F204" i="13"/>
  <c r="G203" i="13"/>
  <c r="H202" i="13"/>
  <c r="G202" i="13"/>
  <c r="G201" i="13"/>
  <c r="F201" i="13"/>
  <c r="G200" i="13"/>
  <c r="F200" i="13"/>
  <c r="G199" i="13"/>
  <c r="F199" i="13"/>
  <c r="G198" i="13"/>
  <c r="G197" i="13"/>
  <c r="F196" i="13"/>
  <c r="G195" i="13"/>
  <c r="F195" i="13"/>
  <c r="G186" i="13"/>
  <c r="F186" i="13"/>
  <c r="G185" i="13"/>
  <c r="N181" i="13"/>
  <c r="F181" i="13"/>
  <c r="F180" i="13"/>
  <c r="H179" i="13"/>
  <c r="G179" i="13"/>
  <c r="F179" i="13"/>
  <c r="G177" i="13"/>
  <c r="F177" i="13"/>
  <c r="G176" i="13"/>
  <c r="F176" i="13"/>
  <c r="G170" i="13"/>
  <c r="F170" i="13"/>
  <c r="G167" i="13"/>
  <c r="F167" i="13"/>
  <c r="G166" i="13"/>
  <c r="F166" i="13"/>
  <c r="G165" i="13"/>
  <c r="F165" i="13"/>
  <c r="G164" i="13"/>
  <c r="F164" i="13"/>
  <c r="G163" i="13"/>
  <c r="H162" i="13"/>
  <c r="G162" i="13"/>
  <c r="F162" i="13"/>
  <c r="G161" i="13"/>
  <c r="H160" i="13"/>
  <c r="G160" i="13"/>
  <c r="F160" i="13"/>
  <c r="G159" i="13"/>
  <c r="F159" i="13"/>
  <c r="G157" i="13"/>
  <c r="F157" i="13"/>
  <c r="G155" i="13"/>
  <c r="H154" i="13"/>
  <c r="G154" i="13"/>
  <c r="F154" i="13"/>
  <c r="G153" i="13"/>
  <c r="F153" i="13"/>
  <c r="G152" i="13"/>
  <c r="F152" i="13"/>
  <c r="H151" i="13"/>
  <c r="H149" i="13"/>
  <c r="G149" i="13"/>
  <c r="F149" i="13"/>
  <c r="H148" i="13"/>
  <c r="G148" i="13"/>
  <c r="F147" i="13"/>
  <c r="F146" i="13"/>
  <c r="G145" i="13"/>
  <c r="F145" i="13"/>
  <c r="G144" i="13"/>
  <c r="F144" i="13"/>
  <c r="G143" i="13"/>
  <c r="F142" i="13"/>
  <c r="G141" i="13"/>
  <c r="F141" i="13"/>
  <c r="G140" i="13"/>
  <c r="F140" i="13"/>
  <c r="G139" i="13"/>
  <c r="F139" i="13"/>
  <c r="G138" i="13"/>
  <c r="F138" i="13"/>
  <c r="G137" i="13"/>
  <c r="F137" i="13"/>
  <c r="F136" i="13"/>
  <c r="G135" i="13"/>
  <c r="N134" i="13"/>
  <c r="G131" i="13"/>
  <c r="F131" i="13"/>
  <c r="G130" i="13"/>
  <c r="F130" i="13"/>
  <c r="G129" i="13"/>
  <c r="H128" i="13"/>
  <c r="G128" i="13"/>
  <c r="F128" i="13"/>
  <c r="G127" i="13"/>
  <c r="G126" i="13"/>
  <c r="F126" i="13"/>
  <c r="G125" i="13"/>
  <c r="F125" i="13"/>
  <c r="H124" i="13"/>
  <c r="G124" i="13"/>
  <c r="F124" i="13"/>
  <c r="G123" i="13"/>
  <c r="F123" i="13"/>
  <c r="G122" i="13"/>
  <c r="F122" i="13"/>
  <c r="G120" i="13"/>
  <c r="F120" i="13"/>
  <c r="G117" i="13"/>
  <c r="N115" i="13"/>
  <c r="G112" i="13"/>
  <c r="F112" i="13"/>
  <c r="G111" i="13"/>
  <c r="F111" i="13"/>
  <c r="H110" i="13"/>
  <c r="G110" i="13"/>
  <c r="F110" i="13"/>
  <c r="H109" i="13"/>
  <c r="H241" i="13" s="1"/>
  <c r="G109" i="13"/>
  <c r="F109" i="13"/>
  <c r="N103" i="13"/>
  <c r="F103" i="13"/>
  <c r="G99" i="13"/>
  <c r="F99" i="13"/>
  <c r="G96" i="13"/>
  <c r="N95" i="13"/>
  <c r="F95" i="13"/>
  <c r="G91" i="13"/>
  <c r="N90" i="13"/>
  <c r="F90" i="13"/>
  <c r="F89" i="13"/>
  <c r="F85" i="13"/>
  <c r="G77" i="13"/>
  <c r="G73" i="13"/>
  <c r="F73" i="13"/>
  <c r="N72" i="13"/>
  <c r="G72" i="13"/>
  <c r="N70" i="13"/>
  <c r="N242" i="13" s="1"/>
  <c r="F70" i="13"/>
  <c r="G69" i="13"/>
  <c r="G67" i="13"/>
  <c r="G66" i="13"/>
  <c r="G63" i="13"/>
  <c r="F61" i="13"/>
  <c r="F57" i="13"/>
  <c r="G56" i="13"/>
  <c r="G54" i="13"/>
  <c r="F53" i="13"/>
  <c r="F52" i="13"/>
  <c r="G38" i="13"/>
  <c r="G33" i="13"/>
  <c r="F33" i="13"/>
  <c r="G31" i="13"/>
  <c r="F31" i="13"/>
  <c r="G29" i="13"/>
  <c r="F29" i="13"/>
  <c r="G28" i="13"/>
  <c r="F28" i="13"/>
  <c r="G26" i="13"/>
  <c r="F26" i="13"/>
  <c r="G25" i="13"/>
  <c r="F25" i="13"/>
  <c r="F241" i="13" s="1"/>
  <c r="G19" i="13"/>
  <c r="G18" i="13"/>
  <c r="G17" i="13"/>
  <c r="G11" i="13"/>
  <c r="G8" i="13"/>
  <c r="G241" i="13" s="1"/>
  <c r="AE242" i="13"/>
  <c r="G242" i="13" l="1"/>
  <c r="H242" i="13"/>
  <c r="I242" i="13"/>
  <c r="F242" i="13"/>
  <c r="G7" i="7" l="1"/>
  <c r="F10" i="7" l="1"/>
  <c r="E10" i="7"/>
  <c r="G9" i="9"/>
  <c r="F10" i="9"/>
  <c r="G8" i="9"/>
  <c r="D10" i="7"/>
  <c r="E10" i="9"/>
  <c r="C10" i="9"/>
  <c r="D10" i="9"/>
  <c r="G7" i="9"/>
  <c r="B10" i="9"/>
  <c r="G6" i="9"/>
  <c r="C10" i="7"/>
  <c r="B10" i="7"/>
  <c r="G8" i="7"/>
  <c r="G6" i="7"/>
  <c r="G9" i="7"/>
  <c r="G10" i="9" l="1"/>
  <c r="G10" i="7"/>
</calcChain>
</file>

<file path=xl/sharedStrings.xml><?xml version="1.0" encoding="utf-8"?>
<sst xmlns="http://schemas.openxmlformats.org/spreadsheetml/2006/main" count="4453" uniqueCount="1519">
  <si>
    <t>Petitioner's Exhibit No. 2</t>
  </si>
  <si>
    <r>
      <rPr>
        <u/>
        <sz val="11"/>
        <color theme="1"/>
        <rFont val="Calibri"/>
        <family val="2"/>
        <scheme val="minor"/>
      </rPr>
      <t>Public</t>
    </r>
    <r>
      <rPr>
        <sz val="11"/>
        <color theme="1"/>
        <rFont val="Calibri"/>
        <family val="2"/>
        <scheme val="minor"/>
      </rPr>
      <t xml:space="preserve"> Attachment SAH-2 through SAH-9</t>
    </r>
  </si>
  <si>
    <t>CEI South</t>
  </si>
  <si>
    <t>Cause No. 45612</t>
  </si>
  <si>
    <t>Compliance Projects - Investment Summary</t>
  </si>
  <si>
    <t>Compliance Projects</t>
  </si>
  <si>
    <t>2022-2026</t>
  </si>
  <si>
    <t>BS/CI Replacements</t>
  </si>
  <si>
    <t>Distribution Modernization</t>
  </si>
  <si>
    <t>Transmission Modernization</t>
  </si>
  <si>
    <t>Storage Modernization</t>
  </si>
  <si>
    <t>Compliance Total</t>
  </si>
  <si>
    <t>2022-2026 TDSIC Plan Investment Summary</t>
  </si>
  <si>
    <t>TDSIC Projects</t>
  </si>
  <si>
    <t>Targeted Economic Development</t>
  </si>
  <si>
    <t>Rural Extension</t>
  </si>
  <si>
    <t>System Improvement - Safety and Reliability</t>
  </si>
  <si>
    <t>Public Improvement</t>
  </si>
  <si>
    <t>TDSIC Total</t>
  </si>
  <si>
    <t>Transmission Modernization - Compliance Project</t>
  </si>
  <si>
    <t>Database Number</t>
  </si>
  <si>
    <t>Maximo Work Order Number</t>
  </si>
  <si>
    <t>Work Order Number 
SAP/Oracle</t>
  </si>
  <si>
    <t>Project Category</t>
  </si>
  <si>
    <t>Area</t>
  </si>
  <si>
    <t>City or Storage Field</t>
  </si>
  <si>
    <t>Description</t>
  </si>
  <si>
    <t>Planned Year</t>
  </si>
  <si>
    <t>Base Estimate 2022 $</t>
  </si>
  <si>
    <t>Estimate for Planned Year</t>
  </si>
  <si>
    <t>SW6007-5057</t>
  </si>
  <si>
    <t>N/A</t>
  </si>
  <si>
    <t>TBD</t>
  </si>
  <si>
    <t>GAS QUALITY / CONDITIONING</t>
  </si>
  <si>
    <t>SW</t>
  </si>
  <si>
    <t>EVANSVILLE</t>
  </si>
  <si>
    <t>Replace heater at Kasson Station - existing heater is obsolete.</t>
  </si>
  <si>
    <t>SW6157-5056</t>
  </si>
  <si>
    <t>EDWARDSPORT</t>
  </si>
  <si>
    <t>Install Carport at Duke Edwardsport Odorizer to eliminate heating threat to odorizer tank.</t>
  </si>
  <si>
    <t>SW6159-5037</t>
  </si>
  <si>
    <t xml:space="preserve">Install gas chromatograph at OBH to monitor gas quality from interstate pipeline </t>
  </si>
  <si>
    <t>SW6007-3108</t>
  </si>
  <si>
    <t>PRESSURE TEST</t>
  </si>
  <si>
    <t>Pressure test Kasson to Foot Doctor and remediate exposures</t>
  </si>
  <si>
    <t>SW6007-5036</t>
  </si>
  <si>
    <t>PRIORITY PIPE</t>
  </si>
  <si>
    <t>Replace HCA sections between Kasson and Virginia Rupper and install reg station at Virginia Rupper to reduce MAOP and move to distribution.</t>
  </si>
  <si>
    <t>SW6159-4936</t>
  </si>
  <si>
    <t>Phase 1 Replace various sections of 1950, 1953, 1954, 1965 and 1968 vintage pipe in SW6159 - 12" OBH to Oliver Storage Field due to seam defects.   Total footage ± 51,005' .  This vintage is associated with manufacturing and construction threats that interact with outside force, external corrosion, third party damage, incorrect operation threats. Replacement of the vintage pipe will eliminate interactive threats</t>
  </si>
  <si>
    <t>SW6123-4186</t>
  </si>
  <si>
    <t xml:space="preserve">MONROE CITY </t>
  </si>
  <si>
    <t xml:space="preserve">H2S Removal Amine Plant </t>
  </si>
  <si>
    <t>SW6078-4981</t>
  </si>
  <si>
    <t>Pressure test 12" Levee to Long Road.     
-Pressure test entire pipeline for MAOP verification and baseline assessment of HCA at Eagle Crest Blvd.</t>
  </si>
  <si>
    <t>SW6159-4338</t>
  </si>
  <si>
    <t>Replace existing 12" pipeline from approximately Measure 33395 to Measure 35589.44 due to seam defects.  This vintage is associated with manufacturing and construction threats that interact with outside force, external corrosion, third party damage, incorrect operation threats. Replacement of the vintage pipe will eliminate interactive threats</t>
  </si>
  <si>
    <t>SW6160-4984</t>
  </si>
  <si>
    <t>SW6160 - 16" Highway 41 to Kasson Station
 - Cut out 7.9% dent:  38.020060, -87.53881
 - Replace 1.5D 90º Bend:  38.021968, -87.538792
This will allow for In-Line Inspection.</t>
  </si>
  <si>
    <t>SW6160-4985</t>
  </si>
  <si>
    <t>SW6005 - 16" Kasson Station to Copperline Road Station
 - Cutout 4.8% Dent at Koressel Rd:  38.008454, -87.672397
This will allow for In-Line Inspection</t>
  </si>
  <si>
    <t xml:space="preserve">SW Storage </t>
  </si>
  <si>
    <t xml:space="preserve">OLIVER </t>
  </si>
  <si>
    <t>Install UltraSonic Metering at Oliver Storage Field to replace obsolete meters and provide enhanced reservoir inventory monitoring and control</t>
  </si>
  <si>
    <t>MIDWAY</t>
  </si>
  <si>
    <t>Install Ultrasonic Metering at Midway Storage Field to replace obsolete meters and provide enhanced reservoir inventory monitoring and control</t>
  </si>
  <si>
    <t>SW Underground Gas Storage</t>
  </si>
  <si>
    <t>Add piping at Monroe City Storage Field to connect 500' storage zone to dehydrator station</t>
  </si>
  <si>
    <t>Phase 2 Replace various sections of 1950, 1953, 1954, 1965 and 1968 vintage pipe in SW6159 - 12" OBH to Oliver Storage Field due to seam defects.   Total footage ± 51,005' .  This vintage is associated with manufacturing and construction threats that interact with outside force, external corrosion, third party damage, incorrect operation threats. Replacement of the vintage pipe will eliminate interactive threats</t>
  </si>
  <si>
    <t>SW6900-3346</t>
  </si>
  <si>
    <t>VALVES / OPERATORS / REMOTE CNTRL</t>
  </si>
  <si>
    <t>MT VERNON</t>
  </si>
  <si>
    <t>Oliver Storage field install compressor controls upgrade - existing controls obsolete</t>
  </si>
  <si>
    <t>SW6900-3141</t>
  </si>
  <si>
    <t>EXPOSURES</t>
  </si>
  <si>
    <t>Remediate exposures in Oliver Storage Field and replace pre-1960 pipe.   This vintage is associated with manufacturing and construction threats that interact with outside force, external corrosion, third party damage, incorrect operation threats. Replacement of the vintage pipe will eliminate interactive threats</t>
  </si>
  <si>
    <t>SW6076-5053</t>
  </si>
  <si>
    <t>CHRISNEY</t>
  </si>
  <si>
    <t>Install Gas Chromatograph at MGT Chrisney Station to monitor gas quality</t>
  </si>
  <si>
    <t>SW6700-3394</t>
  </si>
  <si>
    <t>Install gas chromatograph at Monroe City Storage Field to be able to monitor the quality of gas being delivered out of the storage field.</t>
  </si>
  <si>
    <t>OBSOLETE EQUIPMENT</t>
  </si>
  <si>
    <t>BOONVILLE</t>
  </si>
  <si>
    <t>Rebuild station #OC-191 (Oakland City TBS) to have primary and secondary runs with bypass and rebuild station #223 (Oakhill) and distribution piping to be able to adequately support station #OC-191</t>
  </si>
  <si>
    <t>FORT BRANCH</t>
  </si>
  <si>
    <t>Replace Snake Run odorizer due to obsolete equipment.</t>
  </si>
  <si>
    <t>SW6159-4927</t>
  </si>
  <si>
    <t>Install relighters at various stations due to lighting issues.</t>
  </si>
  <si>
    <t>SW6160-4926</t>
  </si>
  <si>
    <t>Install Bruest Pilot Heaters at various stations due to obsolete equipment</t>
  </si>
  <si>
    <t>SW6156-3400</t>
  </si>
  <si>
    <t>PRESSURE MONITORING / SCADA / RTU</t>
  </si>
  <si>
    <t>VIINCENNES</t>
  </si>
  <si>
    <t>Install SCADA at River Road Station  - This is where we regulate the Transmission pressure for the town of Vincennes it is located at River Rd and Perdue Rd. Per Greg Hoke</t>
  </si>
  <si>
    <t>SW6076-3373</t>
  </si>
  <si>
    <t>NEWBURGH</t>
  </si>
  <si>
    <t>The current AC mitigation near the intersection of Hwy. 66 and Lincoln Ave. in Newburgh needs to be upgraded to adequately protect the pipeline from external corrosion.</t>
  </si>
  <si>
    <t>Phase 3 Replace various sections of 1950, 1953, 1954, 1965 and 1968 vintage pipe in SW6159 - 12" OBH to Oliver Storage Field due to seam defects.   Total footage ± 51,005'.  This vintage is associated with manufacturing and construction threats that interact with outside force, external corrosion, third party damage, incorrect operation threats. Replacement of the vintage pipe will eliminate interactive threats</t>
  </si>
  <si>
    <t>SW6123-3393</t>
  </si>
  <si>
    <t>REGULATOR STATION</t>
  </si>
  <si>
    <t xml:space="preserve">Reconfigure/Replace heater and piping configuration to prevent controls freezing during high flow operation.  </t>
  </si>
  <si>
    <t>SW6123-3451</t>
  </si>
  <si>
    <t>WASHINGTON</t>
  </si>
  <si>
    <t>Retire Shouse Station due to being obsolete</t>
  </si>
  <si>
    <t>SW6700-3404</t>
  </si>
  <si>
    <t>Install RCVs at MCSF Hub - Need actuator controller at HUB – Monroe City Storage Field (Ohio Valley Hub) to allow for remote operation of valves.</t>
  </si>
  <si>
    <t>SW6700-4897</t>
  </si>
  <si>
    <t>Install 8-10 valves at Monroe City Storage Field to ensure safe isolation of well laterals for assessments, operation, and construction.</t>
  </si>
  <si>
    <t>SW6700-4288</t>
  </si>
  <si>
    <t xml:space="preserve">Remediate four (4) pipeline exposures within Monroe City Storage Field </t>
  </si>
  <si>
    <t>Phase 4 Replace various sections of 1950, 1953, 1954, 1965 and 1968 vintage pipe in SW6159 - 12" OBH to Oliver Storage Field due to seam defects.   Total footage ± 51,005' This vintage is associated with manufacturing and construction threats that interact with outside force, external corrosion, third party damage, incorrect operation threats. Replacement of the vintage pipe will eliminate interactive threats</t>
  </si>
  <si>
    <t xml:space="preserve"> Distribution Modernization - Compliance Project </t>
  </si>
  <si>
    <t>S-X-229.1</t>
  </si>
  <si>
    <t>20585601050212</t>
  </si>
  <si>
    <t>Indiana - South - Newburgh - N. Birch Dr.
8" HP STL exposure at dich located at 37.972996, -87.400232.  
Scope: SET 8" ANSI 300 bottom out stoppers at both sides of the ditch  and lower 8" HP STL main 5'-10' below the bottom of creek
Summary
Install 50' of 8" steel main
Retire 50' of 8" steel main
Replace 0 services</t>
  </si>
  <si>
    <t xml:space="preserve"> TBD</t>
  </si>
  <si>
    <t>585450001</t>
  </si>
  <si>
    <t>INSIDE METERS</t>
  </si>
  <si>
    <t>MULTIPLE</t>
  </si>
  <si>
    <t>SW INSIDE METERS - relocate inside meters to exterior of structure</t>
  </si>
  <si>
    <t>S-X-2</t>
  </si>
  <si>
    <t>20585401050217</t>
  </si>
  <si>
    <t>LEGACY PLASTIC</t>
  </si>
  <si>
    <t>Evansville - W. Maryland St - 3" plastic main installed in 1971 via insertion.
2019 - Indiana - Evansville - W. Maryland St.
W. Maryland St from N Sonntag to Harmony Way
Scope: Replace 1,249' of 3" &amp; 4" 1971 Vintage PE. Install 1,590' of 2" and 4" plastic main
Retire 1,630' of 1-1/4", 2", 3" and 4" vintage plastic and bare steel main
Replace 26 services</t>
  </si>
  <si>
    <t>S-X-4741</t>
  </si>
  <si>
    <t>20585401050213</t>
  </si>
  <si>
    <t>Replace approximately 5,755' of 2" PE, 1.25" PE, and 1.25" steel main along S. Villa between SR 66 and Lincoln, E. Chestnut between S. Villa and Vann, S. Dexter between S. Villa and Vann, and Oak between S. Villa and Vann in Evansville due to 1960's vintage plastic main that was installed via insertion.  Install 5,957' of 2" plastic main Retire 5,763' of 1-1/4" and 2" vintage plastic main and bare steel main
Replace 153 services</t>
  </si>
  <si>
    <t>NA</t>
  </si>
  <si>
    <t>585450003</t>
  </si>
  <si>
    <t>LEGACY STEEL</t>
  </si>
  <si>
    <t>SW ISOLATED SERVICES - replaced isolated services</t>
  </si>
  <si>
    <t>S-X-8</t>
  </si>
  <si>
    <t>20585401050216</t>
  </si>
  <si>
    <t>Indiana - South - Evansville - Evansville - Fickas Rd Fickas Rd from Promise to Jeanette 
Euclid from Fickas to End of Euclid 
3,000 of 2" X-Trube MP STL main (non-standard size) Summary
Install 3,045' of 2" plastic main
Retire 3,060' of 2" vintage plastic and steel main
Replace 19</t>
  </si>
  <si>
    <t>S-X-11</t>
  </si>
  <si>
    <t>20585601050210</t>
  </si>
  <si>
    <t>Indiana - South - Evansville - Evansville - Caren Dr. Caren Road from W Haven to Meadowlark Road Magnolia Road from W Haven to Caren Road Scope: Replace 1,200' of 2" X-trube MP STL main (non-standard size) with 2" MP PL main
38.003178, -87.638232
Summary
Install 1,335' of 2" plastic main
Retire 1,315' of 2" X-trube steel main
Replace 23 services</t>
  </si>
  <si>
    <t>S-X-39</t>
  </si>
  <si>
    <t>20585401050218</t>
  </si>
  <si>
    <t>Indiana - South - Evansville -  John Street 
 John Street from Boeke to End Scope: Replace 280' of 1.25" xtrube 1955 vintage steel 
Olive Street from Boeke to End - Scope: Replace 280' of 1.25" xtrube 1955 vintage steel 
Ruston from Sycamore to Walnut - Scope: Replace 650' of 2" xtrube 1970 vintage steel
Welworth from Walnut to Sycamore - Scope Replace 500' of 1.5" vintage plastic 1965
Walnut from Welworth to Vann - Scope Replace 200' of 1.5" vintage steel 
Vann from Sycamore to Walnut - Scope Replace 800' of 4" vintage steel 
Total - Replace 2,710' of X Trube vintage steel pipe  
Summary
Install 2,895' of 2" and 4" plastic main
Retire 2,590' of 1-1/4", 2" and 4"  X-trube steel and vintage plastic main
Replace 56 services</t>
  </si>
  <si>
    <t>S-X-39.1</t>
  </si>
  <si>
    <t>20585401050219</t>
  </si>
  <si>
    <t>3,000 of 2" X-Trube MP STL main (non-standard size)</t>
  </si>
  <si>
    <t>S-X-40.1</t>
  </si>
  <si>
    <t>20585401050224</t>
  </si>
  <si>
    <t>MOD S-X-40.1 - Evansville, IN
Indiana - South - Evansville - N 1st Ave &amp; Meadowridge 
1) Greenleaf from N 1st Ave to End: Replace 1,686' of 2" vintage 1959 steel  -  43 SVC
2) Tremont from Greenleaf to Lexington: Replace 143' of 1.25" vintage steel -  2 SVC
3) Stratford from W Buena Vista to Park: Replace 1,235' of 4" vintage steel -  13 SVC
4) Lexington from N 1st to Stratford: Replace 1,300' of 2" vintage steel - 26 SVC
5) Kensington from Lexington to N Park: Replace 800' of 2" vintage steel - 22 SVC
6) Tremont from Lexington to N Park: Replace 1,000' of 2" vintage steel - 25 SVC 
7 Longfield from Lexington to N Park - Replace 1,1128' of 2" STL - 33 SVC
Total - 7,292 and SVC - 164
Summary
Install 7,599' of 2" and 4" plastic main
Retire 7,371' of 2" and 4" steel main
Replace 165 services</t>
  </si>
  <si>
    <t>S-X-40.2</t>
  </si>
  <si>
    <t>20585401050225</t>
  </si>
  <si>
    <t>MOD S-X-40.2 - Evansville, IN
Indiana - South - Evansville - N 1st Ave &amp; Meadowridge 
1)  N Park Street from N 1st to Stratford - Replace 1,700' of 2" STL - 17 SVC
2) Commerce from N 1st to End - Replace 750' of 2" STL - 6 SVC
4) Longfield from N Park to Pemberton - Replace 780' of 2" STL - 21
5) Pemberton from Longfield to Stratford - Replace 700' of 2" STL - 20 SVC
6) Tremont from N Park to Kensington - Replace 700' of 2" STL - 20 SVC
7) Kensington from N Park to Pemberton - Replace 1,048' of 2" STL - 35 SVC
8) Stratford from N Park to Pemberton - Replace 1,226' of 2" STL - 35 SVC
Total - 6,904 and SVC 154 
Summary
Install 5,945' of 2" and 4" plastic main
Retire 6,205' of 2" steel main, ineffectively coated steel Replace 119 services</t>
  </si>
  <si>
    <t>S-X-40.3</t>
  </si>
  <si>
    <t>20585401050226</t>
  </si>
  <si>
    <t>MOD S-X-40.3- Evansville, IN
Indiana - South - Evansville - N 1st Ave &amp; Meadowridge 
1) W Buena Vista from N 1st to Stratford - Replace 1,400' of 2" STL - 30 SVC
2) Sheridan from N 1st to Stratford - Replace 1,400' of 2" STL - 30 SVC
3) Colonial from N 1st to Stratford - Replace 1,300' of 2" STL - 18 SVC
4) Stratford from W Buenva VIsta to Colonial - Replace 600' of 2" STL - 5 SVC
5) Tremont from W Buena Vista to Colonial - Replace 700' of 2" STL - 2 SVC
Total - 5700 and 85
Summary
Install 4,443' of 2", 4" and 6" plastic main
Retire 4,917' of 2"and 4" steel main
Replace 65 services due to ineffectively coated pipe and corrosion issues</t>
  </si>
  <si>
    <t>S-X-1688</t>
  </si>
  <si>
    <t>18585501050215</t>
  </si>
  <si>
    <t>WADESVILLE</t>
  </si>
  <si>
    <t xml:space="preserve"> Replace 15,000' of xtrube pipe (non-standard size) along Stierley S Road from School Lane to Westview Acres in Wadesville, IN. 
Summary
Install 15,115' of 2" plastic main
Retire 15,060' of 1-1/4", 2" and 4" steel and vintage plastic main
Replace 20 services</t>
  </si>
  <si>
    <t>S-X-4822</t>
  </si>
  <si>
    <t>20585401050214</t>
  </si>
  <si>
    <t>Replace approximately 2,540' of MP 2" steel main on S. Taft Ave. between Covert Ave. and Pollack Ave. in Evansville due to leak and corrosion history. Install 2,380' of 2" plastic main
Retire 3,150' of 1-1/4" and 2" steel main
Replace 70 services</t>
  </si>
  <si>
    <t>S-X-4881</t>
  </si>
  <si>
    <t>20585401050215</t>
  </si>
  <si>
    <t>Replace approximately 2,100' of 2", 1-1/4", and 3/4" 1950's steel on W. Maryland and Varner in Evansville that comprises CP System 1731 due to consistently low CP reads  and poor coating. Install 3,245' of 2" plastic main
Retire 3,215' of 2" 1-1/4" and 2" steel main
Replace 58 services</t>
  </si>
  <si>
    <t>585450002</t>
  </si>
  <si>
    <t>SW OBSOLETE RISERS - replace obsolete service risers</t>
  </si>
  <si>
    <t>S-XA-11877</t>
  </si>
  <si>
    <t>21585501050221</t>
  </si>
  <si>
    <t>PRESSURE MONITORING/SCADA/RTU</t>
  </si>
  <si>
    <t>Replace obsolete paper chart recorders with electronic pressure measurement (ERX) - 3 ERXS</t>
  </si>
  <si>
    <t>S-XA-11878</t>
  </si>
  <si>
    <t>21585601050224</t>
  </si>
  <si>
    <t>Replace obsolete paper chart recorders with electronic pressure measurement (ERX) 5 ERXS</t>
  </si>
  <si>
    <t>S-XA-11868</t>
  </si>
  <si>
    <t>FRANKFORT</t>
  </si>
  <si>
    <t>STATION  NUMBER 311 Replace the Relief Blocking Valve at Reg. Station No. 60000292 - Fox Station - Frankfort - obsolete valve</t>
  </si>
  <si>
    <t>S-XA-11869</t>
  </si>
  <si>
    <t>LAFAYETTE</t>
  </si>
  <si>
    <t>STATION  NUMBER 319 Replace the Valves Nos. 59002167 and 59002171 at Reg. Station No. 59000870 - West TBS - Lafayette</t>
  </si>
  <si>
    <t>S-XA-11870</t>
  </si>
  <si>
    <t>STATION  NUMBER 325 DIMP Project ID 457 Area - 03.30.2021 - Vintage Plastic - Replace approx. 5,500' of 2" MP Plastic main between Owen St to the south, S 16th St to the east, N 2nd St to the west, Heath St to the north.  Replace approx. 110 services.</t>
  </si>
  <si>
    <t>S-XA-11871</t>
  </si>
  <si>
    <t>HATFIELD</t>
  </si>
  <si>
    <t>STATION  NUMBER 304 DIMP Project ID 458 Area - 03.30.2021 - Vintage Plastic - Maps 59-245 &amp; 59-265 Replace approx. 6,000' of 2" MP Plastic main at Kings Way Subdivision off of SR38E and at Pheasant Run Subdivision off of East Brady Lane.  Replace approx. 140 services.</t>
  </si>
  <si>
    <t>S-XA-11898</t>
  </si>
  <si>
    <t>21585702050213</t>
  </si>
  <si>
    <t>MONROE CITY</t>
  </si>
  <si>
    <t>MONROE CITY-Install regulator station emergency inlet valve @ 300' SOUTHWEST OF THE INTERSECTION</t>
  </si>
  <si>
    <t>S-XA-11899</t>
  </si>
  <si>
    <t>21585502050216</t>
  </si>
  <si>
    <t>PRINCETON</t>
  </si>
  <si>
    <t>PRINCETON-Install regulator station emergency inlet valve SOUTH OF MULBERRY STREET &amp; @ 200' EA</t>
  </si>
  <si>
    <t>S-XA-11901</t>
  </si>
  <si>
    <t>21585702050210</t>
  </si>
  <si>
    <t>BICKNELL</t>
  </si>
  <si>
    <t>BICKNELL-Install regulator station emergency inlet valve @200' NORTH OF THE INTERSECTION OF</t>
  </si>
  <si>
    <t>S-XA-11903</t>
  </si>
  <si>
    <t>21585602050219</t>
  </si>
  <si>
    <t>NEWBURGH-Install regulator station emergency inlet valve @ 120' SOUTH OF LAKESIDE DRIVE &amp; 40</t>
  </si>
  <si>
    <t>S-XA-11904</t>
  </si>
  <si>
    <t>21585602050218</t>
  </si>
  <si>
    <t>RICHLAND</t>
  </si>
  <si>
    <t>RICHLAND-Install regulator station emergency inlet valve SOUTH OF HWY 66 - @ 100' EAST OF CPS</t>
  </si>
  <si>
    <t>S-XA-11905</t>
  </si>
  <si>
    <t>21585602050217</t>
  </si>
  <si>
    <t>NEWBURGH-Install regulator station emergency inlet valve @ 30' NORTHEAST OF LAKESIDE DRIVE &amp;</t>
  </si>
  <si>
    <t>S-XA-11906</t>
  </si>
  <si>
    <t>21585402050214</t>
  </si>
  <si>
    <t xml:space="preserve">EVANSVILLE-Install regulator station emergency inlet valve 7756 OLD BOONVILLE HWY - WEST OF OLD </t>
  </si>
  <si>
    <t>S-XA-11907</t>
  </si>
  <si>
    <t>21585502050214</t>
  </si>
  <si>
    <t>WADESVILLE-Install regulator station emergency inlet valve EAST OF DONNER ROAD - @ 1000' SOUTH</t>
  </si>
  <si>
    <t>S-XA-11908</t>
  </si>
  <si>
    <t>21585402050213</t>
  </si>
  <si>
    <t xml:space="preserve">EVANSVILLE-Install regulator station emergency inlet valve SOUTH OF BLUE BELL ROAD - @ 900' WES </t>
  </si>
  <si>
    <t>S-XA-12026</t>
  </si>
  <si>
    <t>21585702050212</t>
  </si>
  <si>
    <t>WESTPHALIA</t>
  </si>
  <si>
    <t>WESTPHALIA-Install regulator station emergency inlet valve EAST OF THE INTERSECTION OF NORTH RA</t>
  </si>
  <si>
    <t>S-XA-12027</t>
  </si>
  <si>
    <t>21585502050215</t>
  </si>
  <si>
    <t>PATOKA</t>
  </si>
  <si>
    <t xml:space="preserve">PATOKA-Install regulator station emergency inlet valve NORTH SIDE OF FORD ROAD (CR 500 N) </t>
  </si>
  <si>
    <t>S-X-231.1</t>
  </si>
  <si>
    <t>21585501050214</t>
  </si>
  <si>
    <t>IN-Princeton-S. Dogwood Ln. MOD Project S-X-231.1 - Indiana - South - Fort Branch - Princeton - S. Dogwood Ln.
Exposed 6" HP steel main in natural area east of 768 S. Dogwood Ln. in
Princeton near 38.344159, -87.501771.
Total 200' of 6" HP steel
Install 200' of 6" HP steel main
Retire 200' of 6" HP steel main
Replace 0 SVC</t>
  </si>
  <si>
    <t>S-X-232.1</t>
  </si>
  <si>
    <t>21585501050215</t>
  </si>
  <si>
    <t>IN-Princeton-Deerhave going west MOD Project S-X-232.1 - Indiana - South - Fort Branch - Princeton - Deerhaven Estate
Exposed 6" HP steel main on west side of Deerhave going west through
natural area in Princeton in three locations near:38.344435, -87.516441, 38.344326, -87.516711, 38.344431, -87.516944
Install 400' of 6" HP steel main
Retire 400' of 6" HP steel main
Replace 0 SVC</t>
  </si>
  <si>
    <t>S-X-233.1</t>
  </si>
  <si>
    <t>21585401050222</t>
  </si>
  <si>
    <t>IN-Evansville-Darmstadt Rd. MOD Project S-X-233.1 - Indiana - South - Evansville - Evansville - Darmstadt Rd.
2" MP steel main installed over culvert on Darmstadt Rd. between Old
Princeton Rd. and Nuebling Rd. in Evansville. There is a buildup of leaves and
soil over the pipe, and the pipe is now exposed.
Total 100' of 2" MP PL
Install 200' of 2" plastic main
Retire 200' of 2" steel main
Replace 0 SVC</t>
  </si>
  <si>
    <t>S-X-420.1</t>
  </si>
  <si>
    <t>21585401050219</t>
  </si>
  <si>
    <t>IN-Evansville-NE corner of St Joe MOD Project S-X-420.1 - Evansville, IN
1. Exposure/Bridge Crossing at NE corner of St Joe Road and New Harmony.
There is also a casing at this location that doesn't have a test station to
monitor.
Install 200' of 4" plastic main
Retire 200' of 4" steel main
Replace 0</t>
  </si>
  <si>
    <t>S-X-422.1</t>
  </si>
  <si>
    <t>21585701050210</t>
  </si>
  <si>
    <t>IN-Washington-Belle Terre Drive MOD Project S-X-422.1 - Washington, IN
1. 2" bare steel installed in 1969 on WO# 1616 is exposed at bridge crossing.
Bridge is north of intersection of Belle Terre Drive and SR 257.
Install 200' of 2" plastic main
Retire 200' of 2" bare steel main
Replace 0 SVC</t>
  </si>
  <si>
    <t xml:space="preserve"> S-X-424.1</t>
  </si>
  <si>
    <t>21585501050212</t>
  </si>
  <si>
    <t>IN-Mt Vernon-Old Highway 62  MOD Project S-X-424.1 - Mt. Vernon, IN
1. Old Highway 62 - Pre-74 Plastic replacement. Identified as high risk with risk model.
Install 2,283' of 2" plastic main
Retire 2,283' of 2" vintage plastic main
Replace 9 SVC</t>
  </si>
  <si>
    <t xml:space="preserve"> S-X-425.1</t>
  </si>
  <si>
    <t>21585601050217</t>
  </si>
  <si>
    <t xml:space="preserve">
1. IN-Newburg-Timber View Dr &amp; Shadow Brook Dr
 MOD Project S-X-425.1 - Newburgh, IN
1. Timber View Dr &amp; Shadow Brook Dr
Install 2,465' of 2" plastic main
Retire 2,465' of 2" vintage plastic main
Replace 28 SVC</t>
  </si>
  <si>
    <t xml:space="preserve"> S-X-438.1 </t>
  </si>
  <si>
    <t>21585401050224</t>
  </si>
  <si>
    <t>IN-Evansville-Helmuth Rd.
 MOD Project S-X-438.1 - Evansville, IN
1. Helmuth Road from Edson to Hawthorne
Install 581' of 2" plastic main
Retire 581' of 2" vintage plastic main
Replace 11 SVC</t>
  </si>
  <si>
    <t xml:space="preserve"> S-X-439.1</t>
  </si>
  <si>
    <t>21585501050217</t>
  </si>
  <si>
    <t xml:space="preserve"> IN-Princeton- McCarty Road from Darwin to George
 MOD Project S-X-439.1 - Princeton, IN
1. McCarty Road from Darwin to George Street
Install 264' of 2" plastic main
Retire 264' of 2" vintage plastic main
Replace 2 SVC</t>
  </si>
  <si>
    <t>S-X-426.1</t>
  </si>
  <si>
    <t>21585601050218</t>
  </si>
  <si>
    <t>IN- Newburgh-Jefferson from Posey to Darby
 MOD Project S-X-426.1 - Newburgh, IN
1. Jefferson from Posey to Darby
Install 600' of 2" plastic main
Retire 600' of 2" vintage plastic main
Replace 6 SVC</t>
  </si>
  <si>
    <t>S-X-432.1</t>
  </si>
  <si>
    <t>21585401050223</t>
  </si>
  <si>
    <t>IN-Evansville-S Red Bank Rd. MOD Project S-X-432.1 - Evansville, IN
1. S Red Bank Road from 2518 S Red Bank Road to 2828 S Red Bank Road
Install 500' of 2" plastic main
Retire 500' of 2" vintage plastic main
Replace 0 SVC</t>
  </si>
  <si>
    <t>S-X-433.1</t>
  </si>
  <si>
    <t>21585601050219</t>
  </si>
  <si>
    <t>ROCKPORT</t>
  </si>
  <si>
    <t>IN-Rockport-W County Road 200 N MOD Project S-X-433.1 - Indiana - South - Rockport - Rockport - W County Road 200 N
1. Replacement recommendations for vintage plastic on W County Road 200 N
between N Silverdale and County Road 50 W
Install 2,441' of 2" plastic main
Retire 2,441' of 2" vintage plastic main
Replace 2 SVC</t>
  </si>
  <si>
    <t>S-X-434.1</t>
  </si>
  <si>
    <t>21585701050214</t>
  </si>
  <si>
    <t>In-Washington-SE 4th Street MOD Project S-X-434 - Washington, IN
Scope of work: SE 4th from E Oak to E South, Alley south of E Main from SE 3rd to SE 5th
E Main from NE 5th to SE 11th, NE 7th from E Main to E Walnut, E Walnut from NE 8th to NE 10th.                             Install 4,593' of 2" and 4" plastic main
Retire 4,593' of 2" and 4" vintage plastic main
Replace 45 SVC</t>
  </si>
  <si>
    <t>S-X-436.1</t>
  </si>
  <si>
    <t>21585701050215</t>
  </si>
  <si>
    <t>VINCENNES</t>
  </si>
  <si>
    <t>IN-Vincennes Rement recommendation. MOD Project S-X-436.1 - Vincennes, IN
1. Replacement recommendation for vintage plastic on W Broadway Street
between S 2nd and S 4th.
Install 844' of 2" plastic main
Retire 844' of 2" vintage plastic main
Replace 3 SVC</t>
  </si>
  <si>
    <t>S-X-437.1</t>
  </si>
  <si>
    <t>21585601050220</t>
  </si>
  <si>
    <t>IN-Newburgh Rement recommendation. MOD Project S-X-437.1 - Newburgh, IN
1. Replacement recommendation of vintage plastic on Ferstel Road, west of
Martin Road.
Install 1,108' of 2" plastic main
Retire 1,108' of 2" vintage plastic main
Replace 9 SVC</t>
  </si>
  <si>
    <t>S-X-435.1</t>
  </si>
  <si>
    <t>21585501050216</t>
  </si>
  <si>
    <t>IN-Princeton-S Main Street and Garfield MOD Project S-X-435.1 - Princeton, IN
1. Replacement recommendation for vintage plastic on S Main and Garfield.
Install 792' of 4" plastic main
Retire 792' of 4" vintage plastic main
Replace 6 SVC</t>
  </si>
  <si>
    <t xml:space="preserve"> S-X-16.1</t>
  </si>
  <si>
    <t>21585401050217</t>
  </si>
  <si>
    <t>IN-Evansville- E. Wortman Rd.
 MOD Project S-X-16.1 - Evansville, IN
1. E. Wortman Rd. west of Old State Rd. - Install 1968' of 2" plastic main and 6 services
Retire 1968' of 2" X-trube steel main</t>
  </si>
  <si>
    <t xml:space="preserve"> S-X-21.1 </t>
  </si>
  <si>
    <t>21585601050213</t>
  </si>
  <si>
    <t>IN- Rockport-W CR 775 N
 MOD Project S-X-21.1 - Rockport, IN
1. W CR 775 N from CR 525 N to 725 W - 5,216' and 14 SVC
2.N CR 450 W from CR 775 N to W CR 775 N - 1,352' and 5 SVC
3.CR 780 N from N CR 450 W to CR 725 W -  715' and 4 SVC
4. W CR 725 N from CR 780 N to End -                                     Install 7,545' of 2" plastic main
Retire 7,545' of 2" X-trube steel main
Replace 24 SVC</t>
  </si>
  <si>
    <t xml:space="preserve"> S-X-22.1</t>
  </si>
  <si>
    <t>21585501050210</t>
  </si>
  <si>
    <t>IN- Wadesville- Koester Rd
 MOD Project S-X-22.1 - Wadesville, IN
1. Koester Rd. between Winery Rd. and St. Wendel Cynthiana Rd.
Install 2,277' of 2" plastic main
Retire 2,277' of 2" X-trube steel main
Replace 20 SVC</t>
  </si>
  <si>
    <t xml:space="preserve"> S-X-427.1 </t>
  </si>
  <si>
    <t>18589185</t>
  </si>
  <si>
    <t>21585501050213</t>
  </si>
  <si>
    <t>OAKLAND CITY</t>
  </si>
  <si>
    <t>IN- Oakland City-Broadway between E Columbia and E Harrison.
 MOD Project S-X-427.1 - Oakland City, IN
1. Legacy Steel recommended for replacement. ~1100' of 4" 1946 steel on
Broadway between E Columbia and E Harrison.
Install 1,100' of 4" plastic main
Retire 1,100' of 4" steel main
Replace 12 SVC</t>
  </si>
  <si>
    <t xml:space="preserve">S-X-10.1 </t>
  </si>
  <si>
    <t>21585401050212</t>
  </si>
  <si>
    <t xml:space="preserve"> IN-Evansville- Schmuck Rd
  MOD Project S-X-10.1 - Evansville, IN
1. Koring Rd. between Schmuck Rd. and Camel Ct -  Install  2,534' of 2" medium pressure plastic main.
Retire 2,534' of 2" X-trube steel main
Replace 15 services. </t>
  </si>
  <si>
    <t xml:space="preserve">S-X-12.1 </t>
  </si>
  <si>
    <t>21585401050213</t>
  </si>
  <si>
    <t>IN- Evansville- Lexington Rd.
 MOD Project S-X-12.1 - Evansville, IN
1. Lexington Rd. east of N. St. Joseph Ave - Install 1,375' of 2" plastic main. 
Retire 1,375' of 2" X-trube steel main
Replace: 11 SVC</t>
  </si>
  <si>
    <t xml:space="preserve">S-X-13.1 </t>
  </si>
  <si>
    <t>21585401050214</t>
  </si>
  <si>
    <t>IN- Evansville-Laubscher Rd 
 MOD Project S-X-13.1 - Evansville, IN
1. Laubscher Rd West of Kratzville Road - Install 3,484' of 2" plastic main
Retire 3,484 of 2" X-trube steel main
Replace: 29 SVC</t>
  </si>
  <si>
    <t xml:space="preserve">S-X-14.1 </t>
  </si>
  <si>
    <t>21585401050215</t>
  </si>
  <si>
    <t>IN-Evansville- Berry Dr.
 MOD Project S-X-14.1 - Evansville, IN
1. Berry Dr. west of Holly Hill Drive -                                 Install 850' of 2" plastic main
Retire 850' of 2" X-trube steel main
Replace 9 SVC</t>
  </si>
  <si>
    <t>S-X-15.1</t>
  </si>
  <si>
    <t>21585401050216</t>
  </si>
  <si>
    <t>IN-Evansville-Baumgart Road
 MOD Project S-X-15.1 - Evansville, IN
1. Baumgart Road North of Mt. Pleasant Road -  Install 2043' of 2" plastic main
Retire 2,043' of 2" X-trube steel main
Replace: 17 SVC</t>
  </si>
  <si>
    <t>S-X-17</t>
  </si>
  <si>
    <t>20585401050223</t>
  </si>
  <si>
    <t>IN- Evansville-Crossbow lane between Deer Trail and Saratoga Drive 
 MOD Project S-X-17 - Evansville, IN
Crossbow lane between Deer Trail and Saratoga Drive - Install 1,053' of 2" plastic main
Retire 1,053' of 2" X-trube steel main
Replace 26 SVC</t>
  </si>
  <si>
    <t xml:space="preserve">S-X-18.1 </t>
  </si>
  <si>
    <t>21585601050210</t>
  </si>
  <si>
    <t>IN- Newburgh-Frame Rd. 
 MOD Project S-X-18.1 - Newburgh, IN
1. Frame Rd. between Willow Pond Rd. and Bice Ln - 
Install 1,768' of 2" plastic main
Retire 1,768' of 2" X-trube steel main
Replace 5 SVC</t>
  </si>
  <si>
    <t xml:space="preserve">S-X-19.1 </t>
  </si>
  <si>
    <t>20585601050213</t>
  </si>
  <si>
    <t>IN - Newburgh - Ferstel Road
 MOD S-X-19.1 - Newburgh, IN
1. Ferstel Rd between W. Maron Rd and Anderson Rd - 2,654' of 2" X-trube and 10 SVC
2. Anderson Rd from Yosemite Dr to Reg Station RS 132 - 3,434' 2" X-trube and 22 SVC
3. Sharon Rd from Sleepy Hollow Rd and Spring Corner Rd - 500' of X-Trube and 3 SVC
Install 6,588' of 2" plastic main 
Retire 6588' of 2" X-trube steel main
Replace 35 SVC</t>
  </si>
  <si>
    <t>S-X-20.1</t>
  </si>
  <si>
    <t>21585601050212</t>
  </si>
  <si>
    <t>IN- Newburgh- Pine Dr.
 MOD Project S-X-20.1 - Newburgh, IN
1. Pine Dr. between SR 66 and Outer Lincoln Dr. -       Install 2,005' of 2" plastic main
Retire 2,005' of 2" X-trube steel main
Replace 45</t>
  </si>
  <si>
    <t>S-X-23.1</t>
  </si>
  <si>
    <t>21585401050218</t>
  </si>
  <si>
    <t>IN-Evansville- Motz Rd.
 MOD Project S-X-23.1 - Evansville, IN
1. Motz Rd. south of St. Wendel Rd - 720' and 2 SVC
2.North of St. Wendel Rd. between Hillview Dr. and Buente Rd - 501' and 2 SVC
3. Buente Rd. north of St. Wendel Rd - 323' and 2 SVC
4. Emge Rd. north of St. Wendel Rd - 438' and 1 SVC
Install 1,982' of 2" plastic main
Retire 1,982' of 2" X-trube steel main
Replace 7 SVC</t>
  </si>
  <si>
    <t>S-X-24.1</t>
  </si>
  <si>
    <t>21585601050215</t>
  </si>
  <si>
    <t xml:space="preserve">IN- Rockport-W CR 600 N
 MOD Project S-X-24.1 - Rockport, IN
1. W CR 600 N between CR 675 W and CR 600 W          Install 1,723' of 2" plastic main
Retire 1,723' of 2" X-trube steel main
Replace 1 SVC
</t>
  </si>
  <si>
    <t xml:space="preserve">S-X-25.1 </t>
  </si>
  <si>
    <t>21585601050216</t>
  </si>
  <si>
    <t>IN- Newburgh-Jenner Rd
 MOD Project S-X-25.1 - Newburgh, IN
1. Jenner Rd. between Fuquay Rd. and Old Plank Rd.
Install 1,413' of 2" plastic main
Retire 1,413' of 2" X-trube steel main
Replace 11 SVC</t>
  </si>
  <si>
    <t>S-X-421.1</t>
  </si>
  <si>
    <t>21585401050220</t>
  </si>
  <si>
    <t>IN-Evansville-Schieps Lane  MOD Project S-X-421.1 - Evansville, IN
1. Approximately 620' of 0.75" steel main along Schieps Lane and east of St
Joseph Ave. This is old steel installed in 1952 and 1955 that has questionable
CP history and extensive corrosion found on the line. In WO# 12542932, 9
band clamps were installed with the same hole to repair 9 pinholes.
Install 600' of 2" plastic main
Retire 600' of 3/4" steel main
Replace 5 SVC</t>
  </si>
  <si>
    <t>S-X-45.1</t>
  </si>
  <si>
    <t>21585401050221</t>
  </si>
  <si>
    <t>IN-Evansville-Roosevelt and Riverside MOD Project S-X-45.1 - Evansville, IN
1. Roosevelt from Riverside Drive to Rheinhardt
2.Culverson from Roosevelt to S Villa
3.Saint James from Riverside to Rheinhardt
4.S Ruston from Riverside to Rheinhardt
5.S Villa from Riverside to Rheinhardt
6.Rheingardt from Roosevelt to S Villa 
Install 6,889' of 2" plastic main
Retire 6,889' of 2" steel main
Replace 138 SVC</t>
  </si>
  <si>
    <t xml:space="preserve">S-X-7.1 </t>
  </si>
  <si>
    <t>21585401050210</t>
  </si>
  <si>
    <t>IN - Evansville-Marx Road
 MOD Project S-X-7.1 - Evansville, IN
1. Marx Road Between Koressel Rd and New Harmon Rd -  4,900' and 24 SVC
2. Koressel Road between New Harmony Road and Upper Mt Vernon Road - 3,875' and 18 SVC
3. Church Road between New Harmony Rd and Marx Rd - 3879' and 22
Install 12,654' of 2" plastic main
Retire 12,654' of 2" X-trube steel main
Replace 64 SVC</t>
  </si>
  <si>
    <t xml:space="preserve">S-X-9 </t>
  </si>
  <si>
    <t>20585401050222</t>
  </si>
  <si>
    <t xml:space="preserve">
Evansville - Lodge Ave - MOD Project S-X-9  - Evansville, IN
Evansville - Lodge Ave - Coupled X-trube, 1973-74 Installation
1. Lilac from Lodge to Sunburst - 733' of 1.25" STL and  16 SVC
2.Lodge from Lilac to Beech - 1,086' of 1.25" STL and  31 SVC
3. Beech from Lodge to Sunburst - 537' of 1.25" STL and  7 SVC
4. Sunburst from Beech to Van Bibber - 535' of 1.25" and  7 SVC
Total 2,891' and Replace 61 SVC</t>
  </si>
  <si>
    <t>S-XA-11876</t>
  </si>
  <si>
    <t>21585401050226</t>
  </si>
  <si>
    <t>VANDERBURGH</t>
  </si>
  <si>
    <t>Replace obsolete paper chart recorders with electronic pressure measurement (ERX) 11 ERXS</t>
  </si>
  <si>
    <t xml:space="preserve"> S-X-101.1</t>
  </si>
  <si>
    <t>21585701050213</t>
  </si>
  <si>
    <t>IN-Washington-RS-W29 MOD Project S-X-101.1 - Washington, IN
1. 2019 - Indiana - South - Washington - Washington - RS W-29
Regulator Station W-29 near intersection of Portersville Rd. &amp; Everett Ln. Rebuild Reg Station W-29</t>
  </si>
  <si>
    <t xml:space="preserve"> S-X-99.1 </t>
  </si>
  <si>
    <t>21585701050212</t>
  </si>
  <si>
    <t>IN-Vincennes-RS-V02 MOD Project S-X-99.1 - Vincennes, IN
1. 2019 - Indiana - South - Vincennes - Vincennes - RS V-02
Regulator Station V-02 on SE corner of River Rd. and Perdue Rd.                                                                                                Rebuild Reg Station V-02. obsolete equipment</t>
  </si>
  <si>
    <t>S-XA-11872</t>
  </si>
  <si>
    <t>21585501050218</t>
  </si>
  <si>
    <t xml:space="preserve">MOD Project S-XA-11872: Reg Station 246-Replace existing regulator Fisher 620 with Fisher 627 </t>
  </si>
  <si>
    <t>S-XA-11873</t>
  </si>
  <si>
    <t>21585501050219</t>
  </si>
  <si>
    <t>HAUBSTADT</t>
  </si>
  <si>
    <t>MOD Project S-XA-11873: Reg Station 289-Replace existing regulator Fisher 620 with Fisher 627 - obsolete equipment</t>
  </si>
  <si>
    <t>S-XA-11874</t>
  </si>
  <si>
    <t>21585501050220</t>
  </si>
  <si>
    <t xml:space="preserve">MOD Project S-XA-11874: Reg Station 314-Replace existing regulator Fisher 620 with Fisher 627 </t>
  </si>
  <si>
    <t>S-XA-11875</t>
  </si>
  <si>
    <t>21585701050216</t>
  </si>
  <si>
    <t>MOD Project S-XA-11875: Reg Station T-05-Replace existing regulator Chaplin-Fulton 461-57S with 2x1 EZR - obsolete equipment</t>
  </si>
  <si>
    <t>S-XA-12012</t>
  </si>
  <si>
    <t>21585502050213</t>
  </si>
  <si>
    <t>HAUBSTADT-Install regulator station emergency inlet valve SOUTH OF CR 1100 S &amp; @ 1000' EAST OF</t>
  </si>
  <si>
    <t>S-XA-12013</t>
  </si>
  <si>
    <t>21585602050216</t>
  </si>
  <si>
    <t>ROCKPORT-Install regulator station emergency inlet valve NORTH SIDE OF HWY 66 - @ 500' EAST O</t>
  </si>
  <si>
    <t>S-XA-12014</t>
  </si>
  <si>
    <t>21585602050215</t>
  </si>
  <si>
    <t xml:space="preserve">ROCKPORT-Install regulator station emergency inlet valve SOUTH SIDE OF HWY 66 - @ 4000' WEST </t>
  </si>
  <si>
    <t>S-XA-12015</t>
  </si>
  <si>
    <t>21585602050214</t>
  </si>
  <si>
    <t xml:space="preserve">NEWBURGH-Install regulator station emergency inlet valve MARTIN ROAD &amp; VALLEY ROAD </t>
  </si>
  <si>
    <t>S-XA-12016</t>
  </si>
  <si>
    <t>21585602050213</t>
  </si>
  <si>
    <t xml:space="preserve">NEWBURGH-Install regulator station emergency inlet valve WEST SIDE OF LENN ROAD - 0.03 MILES </t>
  </si>
  <si>
    <t>S-XA-12017</t>
  </si>
  <si>
    <t>21585602050212</t>
  </si>
  <si>
    <t xml:space="preserve">RICHLAND-Install regulator station emergency inlet valve NORTHWEST SIDE OF SR 161 &amp; CR 300 N </t>
  </si>
  <si>
    <t>S-XA-12018</t>
  </si>
  <si>
    <t>21585602050210</t>
  </si>
  <si>
    <t xml:space="preserve">NEWBURGH-Install regulator station emergency inlet valve EAST SIDE OF FRAME ROAD ( 0.26 MILES </t>
  </si>
  <si>
    <t>S-XA-12021</t>
  </si>
  <si>
    <t>21585402050212</t>
  </si>
  <si>
    <t xml:space="preserve"> EVANSVILLE-Install regulator station emergency inlet valve NORTH OF THE INTERSECTION OF RUPPERT</t>
  </si>
  <si>
    <t>S-XA-12022</t>
  </si>
  <si>
    <t>21585402050210</t>
  </si>
  <si>
    <t xml:space="preserve"> EVANSVILLE-'Install regulator station emergency inlet valve 330' SOUTHWEST OF THE INTERSECTION</t>
  </si>
  <si>
    <t>S-XA-12029</t>
  </si>
  <si>
    <t>21585502050212</t>
  </si>
  <si>
    <t>MOUNT VERNON</t>
  </si>
  <si>
    <t xml:space="preserve">MOUNT VERNON-Install regulator station emergency inlet valve NORTH OF WOLFINGER ROAD - WEST OF HA </t>
  </si>
  <si>
    <t>S-XA-12030</t>
  </si>
  <si>
    <t>21585502050210</t>
  </si>
  <si>
    <t xml:space="preserve"> MOUNT VERNON-'Install regulator station emergency inlet valve @ 80' WEST OF THE INTERSECTION OF F</t>
  </si>
  <si>
    <t xml:space="preserve"> S-X-445.2</t>
  </si>
  <si>
    <t>IN-Washington-State from SE th to 2114 State MOD Project S-X-445.2 - Washington
1. State from SE 15th to 2114 State - 2,560 and 26
2. SE 15th from State to Hazel - 314 and 4 SVC
3. NE 21st from Parkdale to Lakeview - 565 and 3 SVC
4. Lakeview from NE 21st to Bedford - 1,129 and 16 SVC
Total 4,568 and 49 services</t>
  </si>
  <si>
    <t>S-X-440.1</t>
  </si>
  <si>
    <t>IN-Evansville-Schneider Road from HWY 66 to 7490 Schneider Lane MOD Project S-X-440.1 - Evansville
1. Schneider Road from HWY 66 to 7490 Schneider Lane
Total 1,700 and 1 SVC
Old MOD 2133</t>
  </si>
  <si>
    <t xml:space="preserve"> S-X-442.1 </t>
  </si>
  <si>
    <t>IN-Washington-Martha Street MOD Project S-X-442.1 - Bicknell
1. Alley S of W 10th from Martha Street and Mary - 430' and 5 SVC
2.Martha Street From W 10th to Alley S of W 9th - 400' and 2 SVC
3. Alley S of W 9th from End to Vigo Street - 2,000' and 20 SVC
4. Alexandra from Alley S of W 9th to Alley S of W 10th - 330' and 5 SVC
5. Alley S of W 10th from Alexandra to Saint Clair - 350' and 5 SVC
6. Alley S of W 8th from Mary to Saint Clair - 1,196' and 15 SVC
7. Mary from Alley S of W 9th to Alley S of W 6th - 960' and 4 SVC
8. Alley S of W 7th from Mary to Martha Street - 500' and 7 SVC
9. W 6th from End to Mary - 550' and 4 SVC
10. Alley S of W 6th from Mary to Saint Clair - 1,134' and 23
Install 7,850' of 2" plastic main
Retire 7850' of 2" legacy steel main
Replace 90 SVC</t>
  </si>
  <si>
    <t xml:space="preserve"> S-X-443.1</t>
  </si>
  <si>
    <t>MONTGOMERY</t>
  </si>
  <si>
    <t>In-Montgomery-CR 100 N MOD Project S-X-443.1 - Montgomery
1. CR 100 N from End to Saint Michaels - 1,230' and 9 SVC
2. 3rd Street from CR 100 N to Railroad - 1,131 and 2 SVC
3. Railroad from 4th to Montgomery Park - 1,800 and 11 SVC
4. Saint Michaels from Railroad to Private Road - 1,348 and 8 SVC
5. Lovers from Orleans to Saint Michaels - 790' and 3 SVC
Install 6,300' of 2" plastic main
Retire 6,300' of 2" steel main
Replace 33 SVC</t>
  </si>
  <si>
    <t xml:space="preserve"> S-X-443.2</t>
  </si>
  <si>
    <t>IN-Montgomery-N 3rd Street to Main MOD Project S-X-443.2 - Montgomery
1. Little Orleans from N 3rd to Main - 760 and 6
2. Mill from Hasting to Hoffmann Dr - 1,500 and 19 SVC
3. Church from 2nd to Main - 575 and 6 SVC
4. Rudolph from Hasting to Main - 1,200 and 18 SVC
5. Alley north of Rudolph from Hasting to End - 300 and 1 SVC
6. Hasting from Rudolph to Alley - 230 and 2 SVC
7. 2nd from Little Orleans to Rudolph - 650' and 5 SVC
8. Alley east of 1st from little Orleans to Railroad  - 488' and 5 &amp; RR crossing
9. Main from Mill to Alley S of Rudolph - 800 and 5 SVC
10. Alley E of Main from little Orleans to Mill - 366 and 7 SVC
11. Hoffman from Mill to End - 700 and 3 SVC
12. Easement north of US 50 E from Main to end - 1,400' and 9 SVC
Install 8,969' of 2" plastic main
Retire 8,969' of 2" steel main
Replace 86 SVC</t>
  </si>
  <si>
    <t xml:space="preserve"> S-X-444.1</t>
  </si>
  <si>
    <t>In-Washington-N 240 W to NW 21 Street MOD Project S-X-444.1 - Washington
1. Oakgrove from N 240 W to NW 21 St - 3,600 and 25 SVC
2. Howard from Oakgrove to Vine - 300' and 3 SVC
3. Vine from Howard to Field - 2,000' and 23 SVC
4. Bent from Oakgrove to Poplar - 950 and 7 SVC
5. Poplar from Bent to CR 200 W - 404 and 2 SVC
6. Wright from Oakgrove to Poplar - 577 and 3 SVC
Install 7,831' of 2" plastic main
Retire 7,831' of 2" steel main
Replace 63 SVC</t>
  </si>
  <si>
    <t xml:space="preserve"> S-X-444.4</t>
  </si>
  <si>
    <t xml:space="preserve">IN-Washington-Wykoff  MOD Project S-X-444.4 - Washington
1.  Wykoff from Front to NW 11th - 400 and 2 SVC
2. Longfellow Dr from Front to NW 11th - 700 and 6 SVC
3. Apraw from NW 6th to Front - 700 and 8 SVC
4. Front from Greenwood to St Johns - 3,269 and 26 SVC
5. NW 6th from Morton to Apraw - 923 and 10 SVC.  Install 5,992' of 2" plastic main
Retire 5,992' of 2" steel main
Replace 52 SVC
</t>
  </si>
  <si>
    <t>S-X-445.1</t>
  </si>
  <si>
    <t xml:space="preserve">IN-Washington-Lynwood  MOD Project S-X-445.1 - Washington
1. Lynwood Drive from Hwy 57 to Coronado - 1,352 and 22
2. Coronado from Lynwood to Lynwood - 780 and 18
3. Lynwood Drive from Northside to End - 200 and 3 SVC
4. Northside from HWY 57 to Lynwood - 663 and 8 SVC
5. State HWY 57 from Lynwood to 912 SR 57 - 275 and 1 SVC
6. E John from HWY 57 to NE 6th - 329 and 2 SVC
7. NE 6th from E John to Hillcrest - 581 and 9 SVC
8. Florence from NE 6th to Alley W of NE 5th - 387 and 4 SVC
9. Brett Cable from Brett Cabel Ct to NE 12th - 1,287' and 11 SVC
10. Thomas from Green Acres to 1307 Thomas Dr - 460' and 3 SVC
11. Bedford / Flora  from NE 7th to NE 1st - 1,500 and 12 SVC
12. NE 2nd from E Walnut to E Flora - 600 and 3 SVC
13. NE 6th from E Hefron to Beford - 357 and 1 SVC
Install 8,771' of 2" plastic main
Retire 8,771' of 2" vintage plastic main
Replace 97 SVC  
</t>
  </si>
  <si>
    <t xml:space="preserve">S-X-442.3 </t>
  </si>
  <si>
    <t>IN-Bicknell-E Thomas  MOD Project S-X-442.3 - Bicknell
1. Alley E of Thomas from 10th to Kixmiller - 900' and 8 SVC
2. Alley E of Dant from 10th to Kixmiller - 900' and 20 SVC
3. Alley E of Charles Street from 10th to Kixmiller - 900' and 8 SVC
4. Kixmiller from Thomas to End - 900' and 6 SVC
5. Thomas from Kixmiller to E 4th Street - 337 and 1 SVC
Install 6,300' of 2" plastic main
Retire 6,300' of 2" steel main
Replace 33 SVC</t>
  </si>
  <si>
    <t xml:space="preserve">S-X-443.3 </t>
  </si>
  <si>
    <t>In-Montgomery-Hasting &amp; Rudolph MOD Project S-X-443.3 - Montgomery
1. Hasting from Rudolph to US 50 - 381 - 2 SVC
2. N 3rd from Rudolph to Maple - 750' and 7 SVC
3. 2nd from Rudolph to Walnut - 1,050' and 2 SVC
4. Meyers from 3rd to 1st - 264 and 3 SVC
5. S Oak from 3rd to CR 650 E - 500 and 7 SVC
6. Maple from 3rd to CR 650 - 500 and 5 SVC
7. Walnut from 3rd to CR 650 E - 500 and 3 SVC
8. CR 650 E from Walnut to End - 1,375 and 7 SVC
9. CR 600 E from Haag Dr to US 50 - 979 and 7 SVC
10. Old HWY 50 from CR 600E to end - 450 and 1 SVC
Install 6,750' of 2" plastic main
Retire 6,750' of 2" steel main
Replace 44 SVC</t>
  </si>
  <si>
    <t xml:space="preserve">S-X-444.2 </t>
  </si>
  <si>
    <t>In-Washington-NW 19th  MOD Project S-X-444.2 - Washington
1.  NW 19th from Alley S of McCormick to End - 482' and 2 SVC
2. Alley S of McCormick from NW 21st to NW 18th - 620 and 14 SVC
3. NW 21st from W Walnuts Street to North - 800 and 3 SVC
4. Alley N of McCormick from NW 21st to NW 18th - 556 and 4 SVC
5. North from NW 21st to NW 19th - 447 and 3 SVC
6. W 19th from North to Maxwell - 724 and 4 SVC
7. Maxwell from W 19th to George Dr - 2,600 and 15 &amp; RR crossing
8. George from Maxwell to Greenwood - 382 and 1 SVC
Install 6,611' of 2" plastic main
Retire 6,611' of 2" steel main
Replace 46 SVC</t>
  </si>
  <si>
    <t xml:space="preserve">S-X-444.3 </t>
  </si>
  <si>
    <t>In-Washington-NW 16th to NW 11th MOD Project S-X-444.3 - Washington
1.  NW 16th from Maxwell to CR 100 N to 1080 N 150 W- 3,166 and 19 SVC
2. Wykoff from NW 16th to NW 11th - 1,635 and 11 SVC
3. Alley S of Wyoff from NW 16th to End - 855 and  16 SVC
4. Alley North of 100 N from NW 16th to End - 391 and 1 SVC
5. Cherry from NW 16th to NW 11th - 1,450 and 9 SVC
6. NW 11th from Maxwell to Greenwood - 382 and 3 SVC
Install 7,879' of 2" plastic main
Retire 7,879' of 2" steel main
Replace 59 SVC</t>
  </si>
  <si>
    <t>S-X-466.1</t>
  </si>
  <si>
    <t>IN-MT VERNON-COUNTRY CLUB RD MOD Project S-X-466.1 - Mt Vernon
1.  Replace main on Country Club Rd
2.  W 4th St and Park St -                                                            Install 1,511' of 2" plastic main
Retire 1,511' of 2" steel main
Replace 5 SVC</t>
  </si>
  <si>
    <t>S-XA-12085</t>
  </si>
  <si>
    <t>MOD Project S-XA-12085 - Evansville
1.  1601 Lincoln Ave
2.  Leak on 1935 Main St - Main is in bad condition - gas main in easement - ID 47306158 - Dave Han Report</t>
  </si>
  <si>
    <t>S-X-442.2</t>
  </si>
  <si>
    <t>IN-Bicknell-W 4th Street MOD Project S-X-442.2 - Bicknell
1. Alley S of West 4th street from 1024 W 3rd Street to N Main Street - 3,323' and 71 SVC
2. Alley S of West 3rd Street from S Bruceville to Cleveland Street 2,718' and 48 SVC
3. Alley E of Freelandville from E 3rd to E 4th - 500' and 11 SVC
Install 6,541' of 2" plastic main
Retire 6,541' of 2" steel main
Replace 130 SVC</t>
  </si>
  <si>
    <t>S-XA-11837</t>
  </si>
  <si>
    <t xml:space="preserve">INSTALL 10 EMERGENCY INLET VALVES FOR VARIOUS REGULATOR STATIONS  </t>
  </si>
  <si>
    <t>S-X-481.1</t>
  </si>
  <si>
    <t>MOD Project S-X-481.1 - Fort Branch 
1. E Sinclair from N Main to N Railroad - 453 and 7 SVC
2. Alley E of N West from E Ulen to E Sinclair - 388 and 6 SVC
3. E Ulen from N West to N Church - 1,377 and 14 SVC
4. N Main from E Sinclair to E Ulen - 400 and 3 SVC
5. W John from N Railroad to N Elm - 760 and 9 
6. N Main from W John to W Williams - 170 and 3 SVC
7. Alley S of W John from N Main to N McCreary - 300 and 1 SVC
8. N West from E Ulen to W Vine - 950 and 15
9. Alley E of S Polk from W WIlliams to E Ulen - 500 and 1 SVC
10. W WIlliams from N West to S Polk - 340 and 2 SVC
Total 5,638 and 61 SVC
Summary
Install 5,638' of 2" plastic main
Retire 5,638' of 1-1/4" and 2" steel main
Replace 61 SVC</t>
  </si>
  <si>
    <t>S-X-481.2</t>
  </si>
  <si>
    <t>MOD Project S-X-481.2 - Fort Branch 
1. S Polk from W Williams to W Strain - 1,500 and 22 SVC
2. Alley S of W Vine from S Polk to N McCreary - 575 and 7 SVC
3. Alley W of N McCreary from W Williams to W Walnut - 700 and 13 SVC
4. Alley S of W Locust from S Polk to McCreary - 1,000 and 13 SVC
5. Alley S of W Walnut from S Polk to McCreary - 760 and 17
6. W Foster from S Victor to S Cumberland - 380 and 3 SVC
7. S Victor from W Strain to W Red Bank - 700 and 7 SVC
8. S Cumberland from W Strain to W Red Bank - 450 and 10 
Total 6,065 and 92 SVC 
Summary
Install 6,065' of 2" plastic main
Retire 6,065' of 1-1/4" and 2" steel main
Replace 92 SVC</t>
  </si>
  <si>
    <t>S-X-481.3</t>
  </si>
  <si>
    <t>IN-Fort Branch-N Elm Street MOD Project S-X-481.3 - Fort Branch 
1. N Elm from E Ulen to W Strain - 1,800 and 21 SVC
2. Alley S of E Williams from N McCreary to N Elm - 718 and 8 SVC
3. Alley S of E Locust from S Elm to McCreary - 604 and 4 SVC
4. Alley S of Walnut from S Main to S Elm - 350 and 6 SVC
5. S Main from Alley to W Strain - 500 6 SVC
6. S Railroad from W Strain to E Foster - 150 - 1 SVC
7. S Main from W Stain to Foster - 266 and 4 SVC
8. E Foster from S Railroad to S Main - 300 and 3 SVC
9. Alley E of S Railroad from Foster to Mulberry - 231 and 4 SVC
10. Mulberry from S Railroad to Alley - 350 and 6 SVC
11. Alley E of S Main from E Strain to Mulberry - 388 and 5 SVC
12. Railroad from Mulberry and E Oak - 361 and 4 SVC
13. E Oak from Railroad to S Center - 676 and 4 SVC
14. E Poplar from S Main to Center - 447 and 6 SVC
15. Sandy Pizza parking lot - 195 and 1 SVC
16. Alley W of S Center from Poplar to Rosedale - 221 and 4 SVC
17. Rosedale from Railroad to S Center - 500 and 3 SVC
18. S Main from Rosedale to E South - 251 and 1 SVC
Total 8,308 and 84
Summary
Install 8,308' of 2" plastic main
Retire 8,308' of 2" steel main
Replace 84 SVC</t>
  </si>
  <si>
    <t>S-X-481.4</t>
  </si>
  <si>
    <t>MOD Project S-X-481.4 - Fort Branch 
1. Iroquois from Chickasaw to E Park - 344 and 1 SVC
2. Alley N of E Park from Iroquois to End - 451 and 6 SVC
3. Hillcrest from E John to Alley N of E Park - 1,000 and 2 SVC
4. Alley S of E Park from N Willard to N Hull - 973 and 11 SVC
5.  Alley S of E Sinclair from N Church to N Hillcrest - 1,300 and 14 SVC
6. Alley S of E Ulen from Church to N Hillcrest - 1,300 and 15 SVC
7. N Walters from Ulen to E Park - 250 and 2 SVC
8. Alley S of E Park from N Church and N Walters - 313 and 6 SVC
9. N Willard from E John to Alley S of E Park - 550 and 3 SVC
10. N Eastview from E Ulen to E John - 178 and 0 SVC
11. E Jon from N Eastview and N HIllcrest - 350 and 7 SVC
12. E Sinclair from N Hull to End - 680 and 2 SVC
13. Alley E of N Hull from E Sinclair to Alley N of E Walnut - 1,760 and 21
14. Tretter Park from N Hull to end - 1,057 and 19 SVC
Total 10,506 and 109
Summary
Install 10,506' of 2" plastic main
Retire 10,506' of 2" steel main
MOD Project S-X-481.4 - Fort Branch 
1. Iroquois from Chickasaw to E Park - 344 and 1 SVC
2. Alley N of E Park from Iroquois to End - 451 and 6 SVC
3. Hillcrest from E John to Alley N of E Park - 1,000 and 2 SVC
4. Alley S of E Park from N Willard to N Hull - 973 and 11 SVC
5.  Alley S of E Sinclair from N Church to N Hillcrest - 1,300 and 14 SVC
6. Alley S of E Ulen from Church to N Hillcrest - 1,300 and 15 SVC
7. N Walters from Ulen to E Park - 250 and 2 SVC
8. Alley S of E Park from N Church and N Walters - 313 and 6 SVC
9. N Willard from E John to Alley S of E Park - 550 and 3 SVC
10. N Eastview from E Ulen to E John - 178 and 0 SVC
11. E Jon from N Eastview and N Hillcrest - 350 and 7 SVC
12. E Sinclair from N Hull to End - 680 and 2 SVC
13. Alley E of N Hull from E Sinclair to Alley N of E Walnut - 1,760 and 21
14. Tretter Park from N Hill to end - 1,057 and 19 SVC
Total 10,506 and 109
Summary
Install 10,506' of 2" plastic main
Retire 10,506' of 2" steel main
Replace 109 SVC</t>
  </si>
  <si>
    <t>S-X-481.5</t>
  </si>
  <si>
    <t>MOD Project S-X-481.5 - Fort Branch 
1. Alley E of N Lincoln from End to E Strain - 1,171 and 16 
2. Alley E of S Walters from E Vine to E Strain - 1,104 and 20
3. Alley S of E Locust from Alley E of S Walters to US HWY 41 - 1,300 and 23
4. Alley E of S Willard from Alley S of E Locust to E Mulberry - 1,039 and 16 SVC
5. Alley S of E Walnut from S Willard to US HWY 41 - 981 and 25 SVC 
6. Walters from E Mulberry to E Strain - 428 and 4 SVC 
7. Alley E of S Center from E Strain to E Oak - 688 and 12 SVC
8. E Mulberry from Alley E of S Center to US HWY 41 - 2,254 and 17 SVC
9. S Eastview from E Mulberry to E Oak - 340 and 5 SVC
10. S Hillcrest from E Mulberry to E Oak - 340 and 3 SVC
Total 8,475 and 141
Summary
Install 8,475' of 2" plastic main
Retire 8,475' of 2" steel main
Replace 141 SVC</t>
  </si>
  <si>
    <t>S-X-482.1</t>
  </si>
  <si>
    <t>MOD Project S-X-482.1 - Edwardsport
1. Market from End to Albert - 335 and 2 SVC
2. Albert from Market to SR 67 - 3.060 and 4 SVC
3. N Lincoln from Albert to End - 788 and 2 SVC
4. 1st from Albert to end - 810 and 13 SVC
5. 3rd from Albert to Harrison - 912 and 3 SVC
6. Water from Albert to Harrison - 900 and 0 SVC
Total 6,805 and 24 SVC
Summary
Install 6,805' of 2" plastic main
Retire 6,805' of 2" steel main
RepMOD Project S-X-482.1 - Edwardsport
1. Market from End to Albert - 335 and 2 SVC
2. Albert from Market to SR 67 - 3.060 and 4 SVC
3. N Lincoln from Albert to End - 788 and 2 SVC
4. 1st from Albert to end - 810 and 13 SVC
5. 3rd from Albert to Harrison - 912 and 3 SVC
6. Water from Albert to Harrison - 900 and 0 SVC
Total 6,805 and 24 SVC
Summary
Install 6,805' of 2" plastic main
Retire 6,805' of 2" steel main
Replace 24 SVClace 24 SVC</t>
  </si>
  <si>
    <t>S-X-482.2</t>
  </si>
  <si>
    <t>MOD Project S-X-482.2 - Edwardsport
1. Harrison from Water to 5th - 1,500 and 9 SVC
2. Shipping from Water to 5th - 1,400 and 12 SVC
3. Carlisle from 2nd st to 5th - 880 and 12
4. 5th from Harrison to Washington - 1,150 and 6 SVC
5. 4th from Harrison to Washington - 1,150 and 8 SVC
6 3rd from Harrison to Charlisle - 550 and 2 SVC
7. 2nd from Harrison to Washington - 1,1150 and 3
Total 7,780 and 52 
Summary
Install 7,780' of 2" plastic main
Retire 7,780' of 2" steel main
Replace 52 SVC</t>
  </si>
  <si>
    <t>S-X-482.3</t>
  </si>
  <si>
    <t>MOD Project S-X-482.3 - Edwardsport
1. Washington from 5th to 1st - 1,592 and 6 SVC
2. 1st from Washington to End - 400 and 4 SVC
3. 5th from Washington to Jackson - 800 and 6 SVC
4. 4th from Washington to Jackson - 800 and 6 SVC
5. 3rd from Washington to Jackson - 800 and 6 SVC
Total 4,392 and 28 
Summary
Install 4,392' of 2" plastic main
Retire 4,392' of 2" steel main
Replace 28 SVC</t>
  </si>
  <si>
    <t>S-X-483.1</t>
  </si>
  <si>
    <t>MOD Project S-X-483.1 - Vincennes 
1. S 21st from Wilbur to Lake - 865 and 12 SVC
2. S20th from Jerry to Lake - 650 and 15 SVC
3. JC from S 20th to S 21 St - 400 and 5
4. Lake from S 20th to S 21st - 400 and 11
5. Jerry from S 21st to S 22nd - 241 and 6 
6. Jerry from S 22nd to Duke - 800 and 15 
7. Duke from S 22nd to Jerry - 800 and 7 
8. Wessell from S 22nd to End - 1,000 and 14 
9. S 22nd from Main to Wessell - 460 and 5 SVC
10. S Main from S 21st to S 20th - 350 and 3 SVC
11. N 21st from Main to Broadway - 700 and 20 
12. N 20th from Main to Broadway - 700 and 15
13. Broadway from N 21st to N 19th - 800 and 14
Total 7,936 and 142
Summary
Install 7,936' of 2" plastic main
Retire 7,936' of 2" steel main
Replace 142 SVC</t>
  </si>
  <si>
    <t>S-X-483.2</t>
  </si>
  <si>
    <t>MOD Project S-X-483.2- Vincennes
1. Prospect Ave from Dailey to Veterans - 2,352 and 8 SVC
2. Dailey from Wabash Ave to 1206 Dailey Ave - 300 and 1 SVC
3. Sugarloaf from Prospect Ave to End - 500 and 2 SVC
4. Veterans from Prospect Ave to College - 800 and 4 SVC
5. College from Veterans and 2021 College - 237 and 3 SVC
Total 4,189 and 18 SVC
Summary
Install 4,189' of 2" plastic main
Retire 4,189' of 2" steel main
Replace 18 SVC</t>
  </si>
  <si>
    <t>S-X-483.3</t>
  </si>
  <si>
    <t>MOD Project S-X-483.3- Vincennes
1. Forbes from McKinley to McDowell - 1,400' and 9 SVC
2. Margaret Dr from Forbest to John R - 1,300 and 12 SVC
3. John R from Margaret to Forbes - 357 and 2 SVC
4. Ridgeway from Forbes to N 19th - 900 and 7 SVC
5. N 20th from McKinley to Ridgeway -  500 and 3 SVC
Total 4,457 and 33 
Summary
Install 4,457' of 2" plastic main
Retire 4,457' of 2" steel main
Replace 33 SVC</t>
  </si>
  <si>
    <t>S-X-483.4</t>
  </si>
  <si>
    <t>MOD Project S-X-483.4- Vincennes
1. N 2nd from 2620 N 2nd to Old State HWY 67 - 1,900 and 10 SVC
2. Old State HWY 67 from N 2nd to 1457 N State HWY 67 - 1,079 and 5 SVC
3. Executive from N 2th to N 6th ST - 950 and 2 SVC
4. Hillcrest Dr from N Hillcrest Rd to 1691 N Hillcrest - 1,400 and 7 SVC  
5. Hillcrest from N Manor to US HWY 41 - 560 and 3 SVC
Total 5,889 and 27  
Summary
Install 5,889' of 2" plastic main
Retire 5,889' of 2" steel main
Replace 27 SVC</t>
  </si>
  <si>
    <t>S-X-484.1</t>
  </si>
  <si>
    <t>MOD Project S-X-484.1 - Oakland City 
1. Alley E of N Main from 2nd to End - 1,111 and 15 
2. Alley East of Polk from 2nd to End - 986 and 10 SVC
3. 2nd from Highland to End - 1,028 and 7 SVC
4. CR 125 E from E Cherry to 802 CR 1225 E - 1,241 and 4 SVC
5. Old Lade Road from Dongola to 1266 E 100 S - 1,723 and 12 SVC
6. Lincoln from E Cherry to End - 518 and 8 SVC
Total 6,607 and 56
Summary
Install 6,607' of 2" plastic main
Retire 6,607' of 2" steel main
Replace 56 SVC</t>
  </si>
  <si>
    <t>S-X-485.1</t>
  </si>
  <si>
    <t>WHEATLAND</t>
  </si>
  <si>
    <t>MOD Project S-X-485.1 - Wheatland 
1. Alley N of W Main from W Walnut to End - 560 and 7 SVC
2. Alley S of W Main from Nickman to End - 219 and 5 SVC
3. N Nickman from Alley S of W Main to W Main - 127 and 0 SVC
4. S Walnut from RR tracks to W SR 550 - 436 and 3 SVC
5. W Main from N Nickman to N Nicholson - 600 and 2 SVC
6. Nicholson from N Railroad Street to W SR 550 - 634 and 2 SVC
7. Alley N of W SR 550 from Walnut to Nicholson - 500 and 3 SVC
8. Alley E of N Walnut from SR 550 and Church - 469 and 9 SVC
9. Alley E of N Nicholson from SR 550 to Church - 447 and 5 
10. Church from Nicholson to N Green - 320 and 3 SVC
Total 4,312 and 39 
Summary
Install 4,312' of 2" plastic main
Retire 4,312' of 2" steel main
Replace 39 SVC</t>
  </si>
  <si>
    <t>S-X-485.2</t>
  </si>
  <si>
    <t>MOD Project S-X-485.2 - Wheatland 
1. Alley S SR 550 Nicholson to S Niblack - 2,250 and 26 SVC
2. W Main from Broadway to N Root - 1,978 and 6 SVC
3. Alley S of W Main from N Nicholson to S Jennings - 1,771 and 14 SVC
4. N Green from Alley S of SR 550 to Church - 600 and 2 SVC
5. Overbey from Green to N White River - 200 and 2 SVC
6. White River from Overbey to Bateman - 330 and 1 SVC
7. Bateman from White River to N Hall - 450 and 2 SVC
8. N Hall from Bateman to End - 400 and 1 SVC
9. SR 550 from N White River to Sycamore - 429 and 2 SVC
10. Sycamore from Alley S of 2nd to 2nd - 145 and 1 SVC
11. Wallace from Railroad to E 3rd - 880 and 5 
Total 9,433 and 62
Summary
Install 9,433' of 2" plastic main
Retire 9,433' of 2" steel main
Replace 62</t>
  </si>
  <si>
    <t>S-X-485.3</t>
  </si>
  <si>
    <t>MOD Project S-X-485.3 - Wheatland
1. S Seminary from Old HWY 50 to W Main - 468 and 0 
2. S Railroad W from S Seminary to S Green - 500 and 3 SVC
3. Louisville from SR 550 to S Niblack - 760 and 7 SVC
4. E Old HWY 50 from S SR 550 to Louisville - 500 and 5 SVC
5. Depot from Old HWY 50 to East Adams - 350 and 2 SVC
6. East Adams from Louisville to S Portland - 745 and 5 SVC
7. Niblack from E Adams to Main - 700 and 4 SVC
8. Alley S of Washington from S Portland to Klondike - 1,015 and 11 SVC
Total 5038 and 37 
 Summary
Install 5,038' of 2" plastic main
Retire 5,038' of 2" steel main
Replace 37</t>
  </si>
  <si>
    <t>S-X-486.1</t>
  </si>
  <si>
    <t>MOD Project S-X-486.1 - Monroe City
1. W 1st from Brekeridge to Cleveland - 350 and 1 SVC
2. 2nd from Main to Cleveland - 302 and 1 SVC
3. 3rd from Main to Cleveland - 300 and 3 SVC
4. Brekenridge from W 1st to 4th - 719 and 12 SVC
5. 5th from Grant to Main - 319 and 7 SVC
6. 6th from Grant to Buchanan - 200 and 5 SVC
7. 8th from Main to Grant - 324 and 3 SVC
8. 10th from Main to End - 1,044 and 8 SVC
9. 11th from Main to End - 658 and 2 SVC
10. Harrison from 11th to End - 200 and 3 SVC 
11. Grant from 10th to 11th - 200 and 0 SVC
12. E Black from Monroe School and 10564 E Black Rd - 950 and 3 SVC
Total 5,566 and 48 
Summary
Install 5,566' of 2" plastic main
Retire 5,566' of 2" steel main
Replace 48</t>
  </si>
  <si>
    <t>S-X-487.1</t>
  </si>
  <si>
    <t>LOOGOOTEE</t>
  </si>
  <si>
    <t>MOD Project S-X-487.1 - Loogootee 
1. Bloomfield from 601 Bellbrook Road to 300 feet N of Bellbrook Rd - 486 and 2 SVC
2. Dogwood Hill RD from Bloomfield to 519 Dogwood Hill - 626 and 3 SVC
3. Doyle Ave from 315 Doyle Ave to N Line St - 990 and 12 SVC 
4. N Clark from Acton to Doyle - 728 and 4 SVC 
5. Bloomfield from N Oak to 310 Bloomfield - 450 and 4 SVC
6. Oak from Bloomfield to End - 1,500 and 9 SVC
7. County Court from 194 Country CT to End - 1,118 and 10 SVC
8. Bel Air from Butcher to End - 770 and 9 SVC
9. Butcher from County Court to John F Kennedy - 1,875 and 15 
10. Vincennes from N John F Kennedy to N Line - 533 and 5 
11. Mulberry from Vincennes to 107 Mulberry - 264 and 4 SVC
12. Alley E of John F Kennedy from Vincennes to Riley - 364 and 5 SVC
13. Walker from Vincennes to Vine - 550 and 1 SVC
Total 10,254 and 88
Summary
Install 10,254' of 1-1/4” and 2" plastic main
Retire 10,254' of 2" steel main
Replace 88</t>
  </si>
  <si>
    <t>S-X-487.2</t>
  </si>
  <si>
    <t>MOD Project S-X-487.2 - Loogootee 
1. Brooks from Butcher to Costello - 674 and 10 SVC
2. Walker from Butcher to Wood - 1112 and 13 SVC
3. John from Walker to NW 1st - 488 and 7 SVC
4. Cherry from E Broadway to End - 500 and 6 SVC
5. Mill from Walnut to US HWY 31 - 500 and 3 SVC
6. S Oak from Walnut to Em Street - 1,000 and 13 SVC
7. Elm from US HWY 31 and Poplar - 680 and 4 SVC
8. US HWY 231 from Elm to Private Drive - 1,264 and 3 SVC
9. Industrial Ave from Alley to W Broadway - 300 and 3 SVC
10. John C Stronge Street from W Broadway to End - 970 and 11 SVC
Total 7,488 and 73
Summary
Install 7,488' of 2" plastic main
Retire 7,488' of 2" steel main
Replace 73</t>
  </si>
  <si>
    <t>S-XA-11841</t>
  </si>
  <si>
    <t xml:space="preserve">INSTALL 10 EMERGENCY INLET VALVES FOR VARIOUS REGULATOR STATIONS </t>
  </si>
  <si>
    <t>MOD Project S-X-516.1 - Evansville, IN Install: 1,273' of 2" plastic main Retire: 1,273' of 2" steel main Replace:4</t>
  </si>
  <si>
    <t>MOD Project S-X-517.1 - Evansville, IN Install: 650' of 2" plastic main Retire:650' of 2" steel main Replace: 18 SVC</t>
  </si>
  <si>
    <t>MOD Project S-X-518.1 - Evansville, IN Install:617' of 2" plastic main Retire:617' of 2" steel main Replace: 13 SVC</t>
  </si>
  <si>
    <t>MOD Project S-X-519.1 – Evansville Install: 5,438’ of 12” steel Retire: 5,438’ of 12” steel Replace: 87 SVC</t>
  </si>
  <si>
    <t>MOD Project S-X-519.2– Evansville Install:  8,212' of 2" plastic main Retire:  8,212 of 1.25" and 2" steel Replace: 113</t>
  </si>
  <si>
    <t>MOD Project S-X-520.1 - Evansville, IN Install:9,812' of 2" plastic main Retire:9,812' of 2" steel main Replace:188</t>
  </si>
  <si>
    <t>MOD Project S-X-520.2 - Evansville, IN Install: 7,195' of 2" plastic main Retire: 7,195' of 2" steel main Replace:125</t>
  </si>
  <si>
    <t>MOD Project S-X-521.1 - Evansville, IN Install:12,223' of 2" plastic main Retire:12,233' of 1.25", 2" and 4" steel main Replace:123</t>
  </si>
  <si>
    <t>MOD Project S-X-522.1 - Evansville, IN Install:16,700' of 2" and 4" plastic main Retire:16,700' of 1.25", 2" and 4" steel main Replace: 82 SVC</t>
  </si>
  <si>
    <t>Legacy Steel</t>
  </si>
  <si>
    <t>MOD Project S-X-512.1 -  Evansville, IN 
Install 5,268' of 12" steel, 110' of 6" plastic and 400' of 4" plastic main
Retire 5,268' of 12" steel, 110' of 6" steel and 400' of 4" steel main
Replace: 38 SVC</t>
  </si>
  <si>
    <t>MOD Project S-X-513.1- Evansville, IN
Install 3,850' of 2" plastic main
Retire 3,850' of 1.25" and 2" steel main 
Replace: 32 SVC</t>
  </si>
  <si>
    <t>MOD Project S-X-514.1 - Mt Vernon, IN
Install: 3,434' of 2" plastic main
Retire: 3,434' of 2" steel main
Replace: 21 SVC</t>
  </si>
  <si>
    <t>MOD Project S-X-515.1 - Newburgh, IN Install: 800' of 2" plastic main Retire: 800' of 1.25" and 2" steel main Replace: 9 SVC</t>
  </si>
  <si>
    <t>Bare Steel and Cast Iron - Compliance Project</t>
  </si>
  <si>
    <t>S-1246</t>
  </si>
  <si>
    <t>18198529</t>
  </si>
  <si>
    <t>98785724</t>
  </si>
  <si>
    <t>BSCI</t>
  </si>
  <si>
    <t>IN-VINCENNES-S-1246-BSCI - Estimated Installed Footage 6170 - Estimated  Retired Footage 7015 - Est Svcs 76</t>
  </si>
  <si>
    <t>S-1255</t>
  </si>
  <si>
    <t>18199140</t>
  </si>
  <si>
    <t>98785704</t>
  </si>
  <si>
    <t>IN-VINCENNES-S-1255-BSCI - Est Installed Footage 4635 - Est Retired Footage 5615 - Est Svcs 42</t>
  </si>
  <si>
    <t>S-1266</t>
  </si>
  <si>
    <t>18199342</t>
  </si>
  <si>
    <t>98785723</t>
  </si>
  <si>
    <t>IN-VINCENNES-S-1266-BSCI - Est Installed Footage 5900 - Est Retired Footage 8275 - Est Svcs 119</t>
  </si>
  <si>
    <t>S-1351</t>
  </si>
  <si>
    <t>17180018</t>
  </si>
  <si>
    <t>98785371</t>
  </si>
  <si>
    <t>IN-EVANSVILLE-S-1351-BSCI - Est Installed Footage 13720 - Est Retired Footage 8270 - Est Svcs 121</t>
  </si>
  <si>
    <t>S-1352</t>
  </si>
  <si>
    <t>17180444</t>
  </si>
  <si>
    <t>98785372</t>
  </si>
  <si>
    <t>IN-EVANSVILLE-S-1352-BSCI - Est Installed Footage 7535 - Est Retired Footage 6350 - Est Svcs 132</t>
  </si>
  <si>
    <t>S-1361</t>
  </si>
  <si>
    <t>18197966</t>
  </si>
  <si>
    <t>98784727</t>
  </si>
  <si>
    <t>IN-EVANSVILLE-S-1361-BSCI - Est Installed Footage 6366 - Est Retired Footage 8628 - Est Svcs 138</t>
  </si>
  <si>
    <t>S-1363</t>
  </si>
  <si>
    <t>18198378</t>
  </si>
  <si>
    <t>98785703</t>
  </si>
  <si>
    <t>IN-EVANSVILLE-S-1363-BSCI - Est Installed Footage 6755 - Est Retired Footage 4310 - Est Svcs 98</t>
  </si>
  <si>
    <t>S-1364</t>
  </si>
  <si>
    <t>17180843</t>
  </si>
  <si>
    <t>98785373</t>
  </si>
  <si>
    <t>IN-EVANSVILLE-S-1364-BSCI - Est Installed Footage 6646 - Est Retired Footage 6700 - Est Svcs 203</t>
  </si>
  <si>
    <t>S-1365</t>
  </si>
  <si>
    <t>17180860</t>
  </si>
  <si>
    <t>98785382</t>
  </si>
  <si>
    <t>IN-EVANSVILLE-S-1365-BSCI - Est Installed Footage 5797 - Est Retired Footage 3947 - Est Svcs 139</t>
  </si>
  <si>
    <t>S-1367</t>
  </si>
  <si>
    <t>17180882</t>
  </si>
  <si>
    <t>98785383</t>
  </si>
  <si>
    <t>IN-EVANSVILLE-S-1367-BSCI - Est Installed Footage 4127 - Est Retired Footage 5014 - Est Svcs 72</t>
  </si>
  <si>
    <t>S-1378</t>
  </si>
  <si>
    <t>18451740</t>
  </si>
  <si>
    <t>98790038</t>
  </si>
  <si>
    <t>IN-EVANSVILLE-S-1378-BSCI - Est Installed Footage 5670 - Est Retired Footage 5670 - Est Svcs 95</t>
  </si>
  <si>
    <t>S-2085</t>
  </si>
  <si>
    <t>17180951</t>
  </si>
  <si>
    <t>98785062</t>
  </si>
  <si>
    <t>IN-EVANSVILLE-S-2085-BSCI - Est Installed Footage 7855 - Est Retired Footage 6580 - Est Svcs 153</t>
  </si>
  <si>
    <t>S-2298</t>
  </si>
  <si>
    <t>18199289</t>
  </si>
  <si>
    <t>98785720</t>
  </si>
  <si>
    <t>IN-VINCENNES-S-2298-BSCI - Est Installed Footage 2670 - Est Retired Footage 4460 - Est Svcs 80</t>
  </si>
  <si>
    <t>S-2499</t>
  </si>
  <si>
    <t>17181074</t>
  </si>
  <si>
    <t>98785104</t>
  </si>
  <si>
    <t>IN-EVANSVILLE-S-2499-BSCI - Est Installed Footage 6956 - Est Retired Footage 5647 - Est Svcs 146</t>
  </si>
  <si>
    <t>S-2500</t>
  </si>
  <si>
    <t>17181103</t>
  </si>
  <si>
    <t>98785111</t>
  </si>
  <si>
    <t>IN-EVANSVILLE-S-2500-BSCI - Est Installed Footage 6930 - Est Retired Footage 6895 - Est Svcs 159</t>
  </si>
  <si>
    <t>S-2501</t>
  </si>
  <si>
    <t>17181149</t>
  </si>
  <si>
    <t>98785258</t>
  </si>
  <si>
    <t>IN-EVANSVILLE-S-2501-BSCI - Est Installed Footage 5959 - Est Retired Footage 4987 - Est Svcs 96</t>
  </si>
  <si>
    <t>S-2524</t>
  </si>
  <si>
    <t>18083851</t>
  </si>
  <si>
    <t>98788970</t>
  </si>
  <si>
    <t>IN-VINCENNES-S-2524-BSCI - Est Installed Footage 4204 - Est Retired Footage 4351 - Est Svcs 56</t>
  </si>
  <si>
    <t>S-2525</t>
  </si>
  <si>
    <t>18083982</t>
  </si>
  <si>
    <t>98788999</t>
  </si>
  <si>
    <t>IN-VINCENNES-S-2525-BSCI - Est Installed Footage 3875 - Est Retired Footage 5663 - Est Svcs 63</t>
  </si>
  <si>
    <t>S-2526</t>
  </si>
  <si>
    <t>18084037</t>
  </si>
  <si>
    <t>98785753</t>
  </si>
  <si>
    <t>IN-VINCENNES-S-2526-BSCI - Est Installed Footage 3358 - Est Retired Footage 3153 - Est Svcs 55</t>
  </si>
  <si>
    <t>S-2638</t>
  </si>
  <si>
    <t>18198452</t>
  </si>
  <si>
    <t>98785716</t>
  </si>
  <si>
    <t>IN-EVANSVILLE-S-2638-BSCI - Est Installed Footage 4495 - Est Retired Footage 5945 - Est Svcs 84</t>
  </si>
  <si>
    <t>S-1212</t>
  </si>
  <si>
    <t>98783116</t>
  </si>
  <si>
    <t>IN-VINCENNES-S-1212-BSCI - Est Installed Footage 6000 - Est Retired Footage 6000 - Est Svcs 67</t>
  </si>
  <si>
    <t>S-1213</t>
  </si>
  <si>
    <t>98783135</t>
  </si>
  <si>
    <t>IN-VINCENNES-S-1213-BSCI - Est Installed Footage 5950 - Est Retired Footage 5950 - Est Svcs 85</t>
  </si>
  <si>
    <t>S-1216</t>
  </si>
  <si>
    <t>98783138</t>
  </si>
  <si>
    <t>IN-VINCENNES-S-1216-BSCI - Est Installed Footage 10350 - Est Retired Footage 10350 - Est Svcs 159</t>
  </si>
  <si>
    <t>S-1241</t>
  </si>
  <si>
    <t>98785212</t>
  </si>
  <si>
    <t>IN-OAKLAND CITY-S-1241-BSCI - Est Installed Footage 11860 - Est Retired Footage 13345 - Est Svcs 126</t>
  </si>
  <si>
    <t>S-1245</t>
  </si>
  <si>
    <t>98785738</t>
  </si>
  <si>
    <t>IN-OAKLAND CITY-S-1245-BSCI - Est Installed Footage 6985 - Est Retired Footage 6985 - Est Svcs 107</t>
  </si>
  <si>
    <t>S-1267</t>
  </si>
  <si>
    <t>98783097</t>
  </si>
  <si>
    <t>IN-VINCENNES-S-1267-BSCI - Est Installed Footage 7691 - Est Retired Footage 7691 - Est Svcs 99</t>
  </si>
  <si>
    <t>S-1269</t>
  </si>
  <si>
    <t>98783106</t>
  </si>
  <si>
    <t>IN-VINCENNES-S-1269-BSCI - Est Installed Footage 3500 - Est Retired Footage 3500 - Est Svcs 49</t>
  </si>
  <si>
    <t>S-1270</t>
  </si>
  <si>
    <t>98783136</t>
  </si>
  <si>
    <t>IN-VINCENNES-S-1270-BSCI - Est Installed Footage 6300 - Est Retired Footage 6300 - Est Svcs 96</t>
  </si>
  <si>
    <t>S-1357</t>
  </si>
  <si>
    <t>98783132</t>
  </si>
  <si>
    <t>IN-EVANSVILLE-S-1357-BSCI - Est Installed Footage 3260 - Est Retired Footage 3260 - Est Svcs 62</t>
  </si>
  <si>
    <t>S-1360</t>
  </si>
  <si>
    <t>98783111</t>
  </si>
  <si>
    <t>IN-EVANSVILLE-S-1360-BSCI - Est Installed Footage 4350 - Est Retired Footage 4350 - Est Svcs 111</t>
  </si>
  <si>
    <t>S-1368</t>
  </si>
  <si>
    <t>98783139</t>
  </si>
  <si>
    <t>IN-EVANSVILLE-S-1368-BSCI - Est Installed Footage 11850 - Est Retired Footage 11850 - Est Svcs 184</t>
  </si>
  <si>
    <t>S-1369</t>
  </si>
  <si>
    <t>98783101</t>
  </si>
  <si>
    <t>IN-EVANSVILLE-S-1369-BSCI - Est Installed Footage 9150 - Est Retired Footage 9150 - Est Svcs 141</t>
  </si>
  <si>
    <t>S-1382</t>
  </si>
  <si>
    <t>98783114</t>
  </si>
  <si>
    <t>IN-EVANSVILLE-S-1382-BSCI - Est Installed Footage 7087 - Est Retired Footage 7487 - Est Svcs 149</t>
  </si>
  <si>
    <t>S-2121</t>
  </si>
  <si>
    <t>98783122</t>
  </si>
  <si>
    <t>IN-EVANSVILLE-S-2121-BSCI - Est Installed Footage 6115 - Est Retired Footage 6115 - Est Svcs 125</t>
  </si>
  <si>
    <t>S-2122</t>
  </si>
  <si>
    <t>98783125</t>
  </si>
  <si>
    <t>IN-EVANSVILLE-S-2122-BSCI - Est Installed Footage 1427 - Est Retired Footage 1427 - Est Svcs 28</t>
  </si>
  <si>
    <t>S-2296</t>
  </si>
  <si>
    <t>98783115</t>
  </si>
  <si>
    <t>IN-VINCENNES-S-2296-BSCI - Est Installed Footage 5419 - Est Retired Footage 5419 - Est Svcs 66</t>
  </si>
  <si>
    <t>S-2299</t>
  </si>
  <si>
    <t>98783112</t>
  </si>
  <si>
    <t>IN-VINCENNES-S-2299-BSCI - Est Installed Footage 2766 - Est Retired Footage 2766 - Est Svcs 41</t>
  </si>
  <si>
    <t>S-2303</t>
  </si>
  <si>
    <t>98783117</t>
  </si>
  <si>
    <t>IN-VINCENNES-S-2303-BSCI - Est Installed Footage 2737 - Est Retired Footage 2737 - Est Svcs 49</t>
  </si>
  <si>
    <t>S-2371</t>
  </si>
  <si>
    <t>98783130</t>
  </si>
  <si>
    <t>IN-EVANSVILLE-S-2371-BSCI - Est Installed Footage 6500 - Est Retired Footage 6500 - Est Svcs 112</t>
  </si>
  <si>
    <t>S-2515</t>
  </si>
  <si>
    <t>98783102</t>
  </si>
  <si>
    <t>IN-VINCENNES-S-2515-BSCI - Est Installed Footage 1500 - Est Retired Footage 1500 - Est Svcs 10</t>
  </si>
  <si>
    <t>S-2639</t>
  </si>
  <si>
    <t>98786461</t>
  </si>
  <si>
    <t>IN-OAKLAND CITY-S-2639-BSCI - Est Installed Footage 5700 - Est Retired Footage 5700 - Est Svcs 80</t>
  </si>
  <si>
    <t>S-1217</t>
  </si>
  <si>
    <t>IN-VINCENNES-S-1217-BSCI - Est Installed Footage 4850 - Est Retired Footage 4850 - Est Svcs 76</t>
  </si>
  <si>
    <t>S-1248</t>
  </si>
  <si>
    <t>IN-OAKLAND CITY-S-1248-BSCI - Est Installed Footage 7550 - Est Retired Footage 11600 - Est Svcs 122</t>
  </si>
  <si>
    <t>S-1379</t>
  </si>
  <si>
    <t>IN-EVANSVILLE-S-1379-BSCI - Est Installed Footage 5566 - Est Retired Footage 5566 - Est Svcs 76</t>
  </si>
  <si>
    <t>S-1380</t>
  </si>
  <si>
    <t>IN-EVANSVILLE-S-1380-BSCI - Est Installed Footage 8400 - Est Retired Footage 8060 - Est Svcs 115</t>
  </si>
  <si>
    <t>S-1385</t>
  </si>
  <si>
    <t>IN-EVANSVILLE-S-1385-BSCI - Est Installed Footage 7250 - Est Retired Footage 7250 - Est Svcs 105</t>
  </si>
  <si>
    <t>S-2287</t>
  </si>
  <si>
    <t>IN-EVANSVILLE-S-2287-BSCI - Est Installed Footage 7640 - Est Retired Footage 7640 - Est Svcs 112</t>
  </si>
  <si>
    <t>S-2288</t>
  </si>
  <si>
    <t>IN-VINCENNES-S-2288-BSCI - Est Installed Footage 5900 - Est Retired Footage 5900 - Est Svcs 91</t>
  </si>
  <si>
    <t>S-2697</t>
  </si>
  <si>
    <t>IN-EVANSVILLE-S-2697-BSCI - Est Installed Footage 6650 - Est Retired Footage 6650 - Est Svcs 98</t>
  </si>
  <si>
    <t>S-2699</t>
  </si>
  <si>
    <t>IN-EVANSVILLE-S-2699-BSCI - Est Installed Footage 9350 - Est Retired Footage 8357 - Est Svcs 115</t>
  </si>
  <si>
    <t>S-2700</t>
  </si>
  <si>
    <t>IN-EVANSVILLE-S-2700-BSCI - Est Installed Footage 6396 - Est Retired Footage 6396 - Est Svcs 38</t>
  </si>
  <si>
    <t>S-2701</t>
  </si>
  <si>
    <t>IN-EVANSVILLE-S-2701-BSCI - Est Installed Footage 5200 - Est Retired Footage 5200 - Est Svcs 52</t>
  </si>
  <si>
    <t>S-2702</t>
  </si>
  <si>
    <t>IN-EVANSVILLE-S-2702-BSCI - Est Installed Footage 8040 - Est Retired Footage 8040 - Est Svcs 117</t>
  </si>
  <si>
    <t>S-2535</t>
  </si>
  <si>
    <t>IN-FORT BRANCH-S-2535-BSCI-GIS DATA - Est Installed Footage 482 - Est Retired Footage 692 - Est Svcs 12</t>
  </si>
  <si>
    <t>S-2536</t>
  </si>
  <si>
    <t>FRANCISCO</t>
  </si>
  <si>
    <t>IN-FRANCISCO-S-2536-BSCI-GIS DATA - Est Installed Footage 429 - Est Retired Footage 429 - Est Svcs 8</t>
  </si>
  <si>
    <t>S-2537</t>
  </si>
  <si>
    <t>IN-OAKLAND CITY-S-2537-BSCI-GIS DATA - Est Installed Footage 1078 - Est Retired Footage 1078 - Est Svcs 14</t>
  </si>
  <si>
    <t>S-2538</t>
  </si>
  <si>
    <t>IN-PRINCETON-S-2538-BSCI-GIS DATA - Est Installed Footage 1149 - Est Retired Footage 1149 - Est Svcs 8</t>
  </si>
  <si>
    <t>S-2539</t>
  </si>
  <si>
    <t>IN-MONROE CITY-S-2539-BSCI-GIS DATA - Est Installed Footage 5634 - Est Retired Footage 5634 - Est Svcs 3</t>
  </si>
  <si>
    <t>S-2540</t>
  </si>
  <si>
    <t>IN-MONROE CITY-S-2540-BSCI-GIS DATA - Est Installed Footage 3623 - Est Retired Footage 3623 - Est Svcs 38</t>
  </si>
  <si>
    <t>S-2541</t>
  </si>
  <si>
    <t>IN-VINCENNES-S-2541-BSCI-GIS DATA - Est Installed Footage 1638 - Est Retired Footage 1638 - Est Svcs 35</t>
  </si>
  <si>
    <t>S-2542</t>
  </si>
  <si>
    <t>IN-WHEATLAND-S-2542-BSCI-GIS DATA - Est Installed Footage 1429 - Est Retired Footage 1429 - Est Svcs 6</t>
  </si>
  <si>
    <t>S-2543</t>
  </si>
  <si>
    <t>IN-LOOGOOTEE- S-2543 -BSCI-GIS DATA - Est Installed Footage 2254 - Est Retired Footage 2254 - Est Svcs 27</t>
  </si>
  <si>
    <t>S-2544</t>
  </si>
  <si>
    <t>IN-WASHINGTON-S-2544-BSCI-GIS DATA - Est Installed Footage 1762 - Est Retired Footage 1762 - Est Svcs 24</t>
  </si>
  <si>
    <t>S-2545</t>
  </si>
  <si>
    <t>IN-EVANSVILLE-S-2545-BSCI-GIS DATA - Est Installed Footage 3450 - Est Retired Footage 3450 - Est Svcs 0</t>
  </si>
  <si>
    <t>Storage Modernization - Compliance Project</t>
  </si>
  <si>
    <t>S-0257</t>
  </si>
  <si>
    <t>EMERGENCY RESPONSE</t>
  </si>
  <si>
    <t>Construct access road to MID-001 DANIEL #1</t>
  </si>
  <si>
    <t>S-0258</t>
  </si>
  <si>
    <t>Construct access road to MID-006 FUEGER #4</t>
  </si>
  <si>
    <t>S-0259</t>
  </si>
  <si>
    <t>Construct access road to MID-008 FUEGER #7</t>
  </si>
  <si>
    <t>S-0330</t>
  </si>
  <si>
    <t>MONROE</t>
  </si>
  <si>
    <t>Install barricade around MCP-018 Downey #1</t>
  </si>
  <si>
    <t>S-0331</t>
  </si>
  <si>
    <t>OLIVER</t>
  </si>
  <si>
    <t>Install barricade around OLP-003 J.H. Becker #4</t>
  </si>
  <si>
    <t>S-0350</t>
  </si>
  <si>
    <t>Construct access road to MID-015 GROVES #4</t>
  </si>
  <si>
    <t>S-0351</t>
  </si>
  <si>
    <t>Construct access road to MID-023 E KIRKLAND #3</t>
  </si>
  <si>
    <t>S-0329</t>
  </si>
  <si>
    <t>Install barricade around OLP-034 Stein Mills #2</t>
  </si>
  <si>
    <t>S-0352</t>
  </si>
  <si>
    <t>Install barricade around OLP-032 Schroeder #1</t>
  </si>
  <si>
    <t>S-0020</t>
  </si>
  <si>
    <t xml:space="preserve">MIDWAY </t>
  </si>
  <si>
    <t xml:space="preserve">Purchase land within Midway Storage Field limits to ensure access and manage/prevent development </t>
  </si>
  <si>
    <t>S-0279</t>
  </si>
  <si>
    <t xml:space="preserve">Construct access road to MCP-016 Belcher Like #1 </t>
  </si>
  <si>
    <t>S-0280</t>
  </si>
  <si>
    <t>Construct access road to MCP-013 Small #3</t>
  </si>
  <si>
    <t>S-0281</t>
  </si>
  <si>
    <t xml:space="preserve">Construct access road to  MCP-012 Small #1 </t>
  </si>
  <si>
    <t>S-0260</t>
  </si>
  <si>
    <t>Construct access road to MID-009 FUEGER #8</t>
  </si>
  <si>
    <t>S-0261</t>
  </si>
  <si>
    <t>Construct access road to MID-010 FUEGER #9</t>
  </si>
  <si>
    <t>S-0271</t>
  </si>
  <si>
    <t>Construct access road to MCP-015 Coonce #1</t>
  </si>
  <si>
    <t>S-0299</t>
  </si>
  <si>
    <t>Construct access road to MID-025 H. KIRKLAND #1</t>
  </si>
  <si>
    <t>S-0333</t>
  </si>
  <si>
    <t>Install barricade around MCP-001 Stafford #1</t>
  </si>
  <si>
    <t>S-0334</t>
  </si>
  <si>
    <t>Install barricade around MCP-002 Stafford #2</t>
  </si>
  <si>
    <t>S-0032</t>
  </si>
  <si>
    <t>EQUIPMENT</t>
  </si>
  <si>
    <t>Replace Wellhead on MID-001 Daniel #1 for well logging</t>
  </si>
  <si>
    <t>S-0033</t>
  </si>
  <si>
    <t>Replace Wellhead on MID-015 Groves #4  for well logging</t>
  </si>
  <si>
    <t>S-0034</t>
  </si>
  <si>
    <t>Replace Wellhead on MID-016 Groves #5  for well logging</t>
  </si>
  <si>
    <t>S-0035</t>
  </si>
  <si>
    <t>Replace Wellhead on MID-023 E. Kirkland #3  for well logging</t>
  </si>
  <si>
    <t>S-0103</t>
  </si>
  <si>
    <t>Replace Wellhead on MID-006 Fueger #4  for well logging</t>
  </si>
  <si>
    <t>S-0104</t>
  </si>
  <si>
    <t>Replace Wellhead on MID-008 Fueger #7  for well logging</t>
  </si>
  <si>
    <t>S-0205</t>
  </si>
  <si>
    <t>Install bottomhole pressure monitoring equipment in MID-040 Groves#03 to enhance field management/safety</t>
  </si>
  <si>
    <t>S-0206</t>
  </si>
  <si>
    <t xml:space="preserve">Install bottomhole pressure monitoring equipment in Stafford#02 to enhance field management/safety </t>
  </si>
  <si>
    <t>S-0207</t>
  </si>
  <si>
    <t>Install bottomhole pressure monitoring equipment in OLP-064 Weolker#05 to enhance field management/safety</t>
  </si>
  <si>
    <t>S-0208</t>
  </si>
  <si>
    <t>Install bottomhole pressure monitoring equipment in OLP-057 J.H. Becker#05 to enhance field management/safety</t>
  </si>
  <si>
    <t>S-0272</t>
  </si>
  <si>
    <t>Construct access road to OLP-029 Reineke #6</t>
  </si>
  <si>
    <t>S-0273</t>
  </si>
  <si>
    <t>Construct access road to OLP-015 Buente #5</t>
  </si>
  <si>
    <t>S-0274</t>
  </si>
  <si>
    <t>Construct access road to OLP-010 Blackburn #6</t>
  </si>
  <si>
    <t>S-0275</t>
  </si>
  <si>
    <t>Construct access road to OLP-005 J.H. Becker #7</t>
  </si>
  <si>
    <t>S-0277</t>
  </si>
  <si>
    <t>Construct access road to OLP-038 Willis #7</t>
  </si>
  <si>
    <t>S-0319</t>
  </si>
  <si>
    <t>Construct access road to OLP-046 Weolker #2</t>
  </si>
  <si>
    <t>S-0335</t>
  </si>
  <si>
    <t>Install barricade around OLP-028 Reineke #5</t>
  </si>
  <si>
    <t>S-0336</t>
  </si>
  <si>
    <t>Install barricade around OLP-054 A.A. Becker #2</t>
  </si>
  <si>
    <t>S-0353</t>
  </si>
  <si>
    <t>Construct access road to OLP-056 Traverse 3</t>
  </si>
  <si>
    <t>S-0354</t>
  </si>
  <si>
    <t xml:space="preserve">Install barricade around OLP-055 Blackburn #1   </t>
  </si>
  <si>
    <t>S-0288</t>
  </si>
  <si>
    <t>Construct access road to OLP-013 Buente #3</t>
  </si>
  <si>
    <t>S-0289</t>
  </si>
  <si>
    <t>Construct access road to OLP-052 Weolker #10</t>
  </si>
  <si>
    <t>S-0290</t>
  </si>
  <si>
    <t>Construct access road to OLP-040 Willis #10</t>
  </si>
  <si>
    <t>S-0276</t>
  </si>
  <si>
    <t>Construct access road to OLP-053 Weolker #11</t>
  </si>
  <si>
    <t>S-0278</t>
  </si>
  <si>
    <t>Construct access road to OLP-041 Willis #13</t>
  </si>
  <si>
    <t>S-0282</t>
  </si>
  <si>
    <t>Construct access road to OLP-011 Buente #1</t>
  </si>
  <si>
    <t>S-0283</t>
  </si>
  <si>
    <t>Construct access road to OLP-057 J.H. Becker #1</t>
  </si>
  <si>
    <t>S-0284</t>
  </si>
  <si>
    <t>Construct access road to OLP-051 Weolker #8</t>
  </si>
  <si>
    <t>S-0332</t>
  </si>
  <si>
    <t>Install barricade around OLP-027 Reineke #4</t>
  </si>
  <si>
    <t>S-0327</t>
  </si>
  <si>
    <t>Install barricade around OLP-020 Fee #3</t>
  </si>
  <si>
    <t>S-0387</t>
  </si>
  <si>
    <t>Construct access road to OLP-016 Esche #1</t>
  </si>
  <si>
    <t>S-0388</t>
  </si>
  <si>
    <t>Construct access road to OLP-050 Weolker #7</t>
  </si>
  <si>
    <t>S-0038</t>
  </si>
  <si>
    <t>Replace Wellhead on OLP-038 Willis #7 for well logging</t>
  </si>
  <si>
    <t>S-0039</t>
  </si>
  <si>
    <t>Replace Wellhead on OLP-046 Weolker #2 for well logging</t>
  </si>
  <si>
    <t>S-0065</t>
  </si>
  <si>
    <t>Replace Wellhead on OLP-005 J.H. Becker #7 for well logging</t>
  </si>
  <si>
    <t>S-0068</t>
  </si>
  <si>
    <t>Replace Wellhead on OLP-015 Buente #5 for well logging</t>
  </si>
  <si>
    <t>S-0070</t>
  </si>
  <si>
    <t>Replace Wellhead on OLP-029 Reineke #6 for well logging</t>
  </si>
  <si>
    <t>S-0089</t>
  </si>
  <si>
    <t>Replace Wellhead on OLP-050 Weolker #7 for well logging</t>
  </si>
  <si>
    <t>S-0093</t>
  </si>
  <si>
    <t>Replace Wellhead on OLP-010 Blackburn #6 for well logging</t>
  </si>
  <si>
    <t>S-0101</t>
  </si>
  <si>
    <t>Replace Wellhead on OLP-059 Willis #3 for well logging</t>
  </si>
  <si>
    <t>S-0003</t>
  </si>
  <si>
    <t>WELL CONSTRUCTION / REMEDIATION</t>
  </si>
  <si>
    <t>Replug 1 (TBD) existing well of 3 that was not plugged to modern standards by previous operator.</t>
  </si>
  <si>
    <t>S-0121</t>
  </si>
  <si>
    <t>Connect 1 Staunton Formation well (MCP-020 W.G. McCoy #06) to existing Mansfield transmission line to restore field capacity lost through plugging of wells</t>
  </si>
  <si>
    <t>S-0285</t>
  </si>
  <si>
    <t>Construct access road to MID-014 GROVES #1</t>
  </si>
  <si>
    <t>S-0286</t>
  </si>
  <si>
    <t xml:space="preserve">Construct access road to  MCP-017 Like #1 </t>
  </si>
  <si>
    <t>S-0287</t>
  </si>
  <si>
    <t>Construct access road to MCP-022 Small #5</t>
  </si>
  <si>
    <t>S-0297</t>
  </si>
  <si>
    <t>Construct access road to MID-005 FUEGER #3</t>
  </si>
  <si>
    <t>S-0337</t>
  </si>
  <si>
    <t>Install barricade around MCP-006 Bentle #3</t>
  </si>
  <si>
    <t>S-0338</t>
  </si>
  <si>
    <t>Install barricade around MCP-007 Belcher #1</t>
  </si>
  <si>
    <t>S-0339</t>
  </si>
  <si>
    <t>Install barricade around OLP-005 J.H. Becker #7</t>
  </si>
  <si>
    <t>S-0340</t>
  </si>
  <si>
    <t>Install barricade around OLP-065 Vectren Energy Delivery#01</t>
  </si>
  <si>
    <t>S-0355</t>
  </si>
  <si>
    <t>Install barricade around OLP-056 Travers #3</t>
  </si>
  <si>
    <t>S-0073</t>
  </si>
  <si>
    <t>Replace Wellhead on MID-005 Fueger #3</t>
  </si>
  <si>
    <t>S-0076</t>
  </si>
  <si>
    <t>Replace Wellhead on MID-019 Johnson #2</t>
  </si>
  <si>
    <t>S-0105</t>
  </si>
  <si>
    <t>Replace Wellhead on MID-009 Fueger #8</t>
  </si>
  <si>
    <t>S-0106</t>
  </si>
  <si>
    <t>Replace Wellhead on MID-010 Fueger #9</t>
  </si>
  <si>
    <t>S-0392</t>
  </si>
  <si>
    <t>Replug 1 (TBD) existing well of 2 that was not plugged to modern standards by previous operator.</t>
  </si>
  <si>
    <t>S-0001</t>
  </si>
  <si>
    <t>Install transmission line to the Midway horizontal</t>
  </si>
  <si>
    <t>S-0004</t>
  </si>
  <si>
    <t>Drilling of new horizontal I/W well to replace plugged MID-022 E. Kirkland #1</t>
  </si>
  <si>
    <t>S-0394</t>
  </si>
  <si>
    <t xml:space="preserve">Drilling of new vertical OBS well - MID-OBS#1.  </t>
  </si>
  <si>
    <t>S-0291</t>
  </si>
  <si>
    <t>Construct access road to MID-002 DANIEL #3</t>
  </si>
  <si>
    <t>S-0293</t>
  </si>
  <si>
    <t>Construct access road to MID-004 FUEGER #2</t>
  </si>
  <si>
    <t>S-0294</t>
  </si>
  <si>
    <t>Construct access road to MID-005 FUEGER #5</t>
  </si>
  <si>
    <t>S-0295</t>
  </si>
  <si>
    <t>Construct access road to MID-013 GRAHAM #3</t>
  </si>
  <si>
    <t>S-0296</t>
  </si>
  <si>
    <t>Construct access road to MID-021 KINNEY #4</t>
  </si>
  <si>
    <t>S-0341</t>
  </si>
  <si>
    <t>Install barricade around OLP-017 Esche #2</t>
  </si>
  <si>
    <t>S-0342</t>
  </si>
  <si>
    <t>Install barricade around OLP-061 Henry Metz#01</t>
  </si>
  <si>
    <t>S-0050</t>
  </si>
  <si>
    <t>Replace Wellhead on OLP-011 Buente #1 for well logging</t>
  </si>
  <si>
    <t>S-0053</t>
  </si>
  <si>
    <t>Replace Wellhead on OLP-027 Reineke #4 for well logging</t>
  </si>
  <si>
    <t>S-0056</t>
  </si>
  <si>
    <t>Replace Wellhead on OLP-039 Willis #9 for well logging</t>
  </si>
  <si>
    <t>S-0072</t>
  </si>
  <si>
    <t>Replace Wellhead on OLP-048 Weolker #4 for well logging</t>
  </si>
  <si>
    <t>S-0085</t>
  </si>
  <si>
    <t>Replace Wellhead on OLP-041 Willis #13 for well logging</t>
  </si>
  <si>
    <t>S-0095</t>
  </si>
  <si>
    <t>Replace Wellhead on OLP-051 Weolker #8 for well logging</t>
  </si>
  <si>
    <t>S-0097</t>
  </si>
  <si>
    <t>Replace Wellhead on OLP-053 Weolker #11 for well logging</t>
  </si>
  <si>
    <t>S-0099</t>
  </si>
  <si>
    <t>Replace Wellhead on OLP-057 J.H. Becker #1 for well logging</t>
  </si>
  <si>
    <t>S-0393</t>
  </si>
  <si>
    <t>Replug 1 (TBD) existing well that was not plugged to modern standards by previous operator.</t>
  </si>
  <si>
    <t>S-0018</t>
  </si>
  <si>
    <t>18200601055018</t>
  </si>
  <si>
    <t>McCoy #13 Vertical Observation Well to enhance field monitoring/safety</t>
  </si>
  <si>
    <t>S-0292</t>
  </si>
  <si>
    <t>Construct access road to MID-003 FUEGER #1</t>
  </si>
  <si>
    <t>S-0300</t>
  </si>
  <si>
    <t>Construct access road to MID-027 H. KIRKLAND #3</t>
  </si>
  <si>
    <t>S-0305</t>
  </si>
  <si>
    <t xml:space="preserve">Install barricade around MID-033 White #3  </t>
  </si>
  <si>
    <t>S-0302</t>
  </si>
  <si>
    <t xml:space="preserve">Construct access road to MCP-007 Belcher #1 </t>
  </si>
  <si>
    <t>S-0343</t>
  </si>
  <si>
    <t>Install barricade around OLP-001 J.H. Becker #2</t>
  </si>
  <si>
    <t>S-0044</t>
  </si>
  <si>
    <t>Replace Wellhead on MID-024 E. Kirkland #4 for well logging</t>
  </si>
  <si>
    <t>S-0059</t>
  </si>
  <si>
    <t>Replace Wellhead on MID-003 Fueger #1 for well logging</t>
  </si>
  <si>
    <t>S-0074</t>
  </si>
  <si>
    <t>Replace Wellhead on MID-007 Fueger #5 for well logging</t>
  </si>
  <si>
    <t>S-0077</t>
  </si>
  <si>
    <t>Replace Wellhead on MID-025 H. Kirkland #1 for well logging</t>
  </si>
  <si>
    <t>S-0079</t>
  </si>
  <si>
    <t>Replace Wellhead on MID-031 Weber #1 for well logging</t>
  </si>
  <si>
    <t>S-0080</t>
  </si>
  <si>
    <t>Replace Wellhead on MID-033 White #3 for well logging</t>
  </si>
  <si>
    <t>S-0116</t>
  </si>
  <si>
    <t>Replace Wellhead on MCP-015 Coonce #1 for well logging</t>
  </si>
  <si>
    <t>S-0117</t>
  </si>
  <si>
    <t>Replace Wellhead on MCP-001 Stafford #1 for well logging</t>
  </si>
  <si>
    <t>S-0118</t>
  </si>
  <si>
    <t>Replace Wellhead on MCP-002 Stafford #2 for well logging</t>
  </si>
  <si>
    <t>S-0119</t>
  </si>
  <si>
    <t>Replace Wellhead on MCP-007 Belcher #1 for well logging</t>
  </si>
  <si>
    <t>S-0115</t>
  </si>
  <si>
    <t>Replace Wellhead on MCP-003 Bentle-Small #1 for well logging</t>
  </si>
  <si>
    <t>CEI South Bare Steel / Cast Iron Replacement Program</t>
  </si>
  <si>
    <t>As of December 31, 2020</t>
  </si>
  <si>
    <t>Group #</t>
  </si>
  <si>
    <t>PowerPlant Project Number</t>
  </si>
  <si>
    <t>Operating Center</t>
  </si>
  <si>
    <t>City</t>
  </si>
  <si>
    <t>Main Type (Mat'l)</t>
  </si>
  <si>
    <t>Esimated Install Footage - Mains</t>
  </si>
  <si>
    <t>Estimated Retire Footage - Mains</t>
  </si>
  <si>
    <t>Estimated  Project Services</t>
  </si>
  <si>
    <t>Estimated Project Cost</t>
  </si>
  <si>
    <t>ACTUAL Main Footage Installed</t>
  </si>
  <si>
    <t>ACTUAL Main Footage Retired [G]</t>
  </si>
  <si>
    <t>ACTUAL Project Services Replaced or Tied-In
[E]</t>
  </si>
  <si>
    <t xml:space="preserve">ACTUAL Service Footage Installed </t>
  </si>
  <si>
    <t>ACTUAL Project Services Retired [C]</t>
  </si>
  <si>
    <t>ACTUAL Service Footage Retired [D]</t>
  </si>
  <si>
    <t>Actual Project Investment Cost [A]</t>
  </si>
  <si>
    <t>Project Status [B]</t>
  </si>
  <si>
    <t>CSIA Recovery [H]</t>
  </si>
  <si>
    <t>Total</t>
  </si>
  <si>
    <t>08585552703</t>
  </si>
  <si>
    <t>Fort Branch</t>
  </si>
  <si>
    <t>Mt. Vernon</t>
  </si>
  <si>
    <t>Bare Steel</t>
  </si>
  <si>
    <t>posted to CPR</t>
  </si>
  <si>
    <t>Excluded from CSIA</t>
  </si>
  <si>
    <t>SW-1</t>
  </si>
  <si>
    <t>08585752706</t>
  </si>
  <si>
    <t>Vincennes</t>
  </si>
  <si>
    <t>S-2</t>
  </si>
  <si>
    <t>08585752707</t>
  </si>
  <si>
    <t>S-3</t>
  </si>
  <si>
    <t>09585752525</t>
  </si>
  <si>
    <t>S-4</t>
  </si>
  <si>
    <t>08585752708</t>
  </si>
  <si>
    <t>Washington</t>
  </si>
  <si>
    <t>S-5</t>
  </si>
  <si>
    <t>09585752526</t>
  </si>
  <si>
    <t>S-7</t>
  </si>
  <si>
    <t>08585752703</t>
  </si>
  <si>
    <t>S-8</t>
  </si>
  <si>
    <t>08585752702</t>
  </si>
  <si>
    <t>Montgomery</t>
  </si>
  <si>
    <t>S-9</t>
  </si>
  <si>
    <t>08585452804</t>
  </si>
  <si>
    <t>Evansville</t>
  </si>
  <si>
    <t>Cast Iron</t>
  </si>
  <si>
    <t>S-10</t>
  </si>
  <si>
    <t>08585452806</t>
  </si>
  <si>
    <t>Bare Steel / Cast Iron</t>
  </si>
  <si>
    <t>S-11</t>
  </si>
  <si>
    <t>08585452807</t>
  </si>
  <si>
    <t>S-13</t>
  </si>
  <si>
    <t>12585401052214</t>
  </si>
  <si>
    <t>S-14</t>
  </si>
  <si>
    <t>12585401052213</t>
  </si>
  <si>
    <t>S-15</t>
  </si>
  <si>
    <t>13585401052210</t>
  </si>
  <si>
    <t>CSIA Recoverable</t>
  </si>
  <si>
    <t>S-16</t>
  </si>
  <si>
    <t>12585401052215</t>
  </si>
  <si>
    <t>S-18</t>
  </si>
  <si>
    <t>12585401052216</t>
  </si>
  <si>
    <t>S-19</t>
  </si>
  <si>
    <t>09585452527</t>
  </si>
  <si>
    <t>S-20 [F]</t>
  </si>
  <si>
    <t>08585452805</t>
  </si>
  <si>
    <t>S-22</t>
  </si>
  <si>
    <t>12585701052215</t>
  </si>
  <si>
    <t>S-23</t>
  </si>
  <si>
    <t>13585701052214</t>
  </si>
  <si>
    <t>S-24</t>
  </si>
  <si>
    <t>17585701052225</t>
  </si>
  <si>
    <t>Bare Steel / Plastic</t>
  </si>
  <si>
    <t>S-25</t>
  </si>
  <si>
    <t>09585701052525</t>
  </si>
  <si>
    <t xml:space="preserve">Bare Steel </t>
  </si>
  <si>
    <t>S-26</t>
  </si>
  <si>
    <t>09585701052526</t>
  </si>
  <si>
    <t>S-27</t>
  </si>
  <si>
    <t>09585701052527</t>
  </si>
  <si>
    <t>S-28</t>
  </si>
  <si>
    <t>09585701052528</t>
  </si>
  <si>
    <t>S-29</t>
  </si>
  <si>
    <t>10585501052011</t>
  </si>
  <si>
    <t>Princeton</t>
  </si>
  <si>
    <t>S-30</t>
  </si>
  <si>
    <t>12585701052214</t>
  </si>
  <si>
    <t>S-31</t>
  </si>
  <si>
    <t>13585701052219</t>
  </si>
  <si>
    <t>S-32</t>
  </si>
  <si>
    <t>12585701052220</t>
  </si>
  <si>
    <t>S-504</t>
  </si>
  <si>
    <t>10585701052212</t>
  </si>
  <si>
    <t>S-505</t>
  </si>
  <si>
    <t>12585701052213</t>
  </si>
  <si>
    <t>S-506</t>
  </si>
  <si>
    <t>12585701052212</t>
  </si>
  <si>
    <t>S-531</t>
  </si>
  <si>
    <t>06585451801</t>
  </si>
  <si>
    <t>S-532</t>
  </si>
  <si>
    <t>07585452801</t>
  </si>
  <si>
    <t>S-533</t>
  </si>
  <si>
    <t>07585452802</t>
  </si>
  <si>
    <t>S-534</t>
  </si>
  <si>
    <t>07585452803</t>
  </si>
  <si>
    <t>S-535</t>
  </si>
  <si>
    <t>06585461029</t>
  </si>
  <si>
    <t>S-536</t>
  </si>
  <si>
    <t>07585452800</t>
  </si>
  <si>
    <t>S-537</t>
  </si>
  <si>
    <t>06585551014</t>
  </si>
  <si>
    <t>S-538</t>
  </si>
  <si>
    <t>06585751702</t>
  </si>
  <si>
    <t>S-539</t>
  </si>
  <si>
    <t>07585751703</t>
  </si>
  <si>
    <t>S-540</t>
  </si>
  <si>
    <t>08585552700</t>
  </si>
  <si>
    <t>Plastic</t>
  </si>
  <si>
    <t>S-541</t>
  </si>
  <si>
    <t>07585752700</t>
  </si>
  <si>
    <t>S-542</t>
  </si>
  <si>
    <t>08585752701</t>
  </si>
  <si>
    <t>S-543</t>
  </si>
  <si>
    <t>08585552701</t>
  </si>
  <si>
    <t>S-555</t>
  </si>
  <si>
    <t>11585501052210</t>
  </si>
  <si>
    <t>S-615</t>
  </si>
  <si>
    <t>13585701052210</t>
  </si>
  <si>
    <t>S-634</t>
  </si>
  <si>
    <t>11585401052210</t>
  </si>
  <si>
    <t>S-635</t>
  </si>
  <si>
    <t>11585401052212</t>
  </si>
  <si>
    <t>S-636</t>
  </si>
  <si>
    <t>11585401052213</t>
  </si>
  <si>
    <t>S-686</t>
  </si>
  <si>
    <t>13585701052216</t>
  </si>
  <si>
    <t>S-687</t>
  </si>
  <si>
    <t>14585701052219</t>
  </si>
  <si>
    <t>S-688</t>
  </si>
  <si>
    <t>14585701052220</t>
  </si>
  <si>
    <t>S-689</t>
  </si>
  <si>
    <t>14585701052221</t>
  </si>
  <si>
    <t>S-690</t>
  </si>
  <si>
    <t>15585701052217</t>
  </si>
  <si>
    <t>S-691</t>
  </si>
  <si>
    <t>15585701052218</t>
  </si>
  <si>
    <t>S-692</t>
  </si>
  <si>
    <t>13585701052220</t>
  </si>
  <si>
    <t>S-693</t>
  </si>
  <si>
    <t>12585501052212</t>
  </si>
  <si>
    <t>Francisco</t>
  </si>
  <si>
    <t>S-694</t>
  </si>
  <si>
    <t>12585501052210</t>
  </si>
  <si>
    <t>S-695</t>
  </si>
  <si>
    <t>13585501052215</t>
  </si>
  <si>
    <t>S-696</t>
  </si>
  <si>
    <t>12585701052221</t>
  </si>
  <si>
    <t>S-697</t>
  </si>
  <si>
    <t>15585701052216</t>
  </si>
  <si>
    <t>S-698</t>
  </si>
  <si>
    <t>12585701052222</t>
  </si>
  <si>
    <t>S-699</t>
  </si>
  <si>
    <t>15585401052214</t>
  </si>
  <si>
    <t>Bare Steel / Cast Iron / Plastic</t>
  </si>
  <si>
    <t>S-700</t>
  </si>
  <si>
    <t>16585401052220</t>
  </si>
  <si>
    <t>S-701</t>
  </si>
  <si>
    <t>15585401052215</t>
  </si>
  <si>
    <t>S-702</t>
  </si>
  <si>
    <t>18585401052222</t>
  </si>
  <si>
    <t>open</t>
  </si>
  <si>
    <t>S-703</t>
  </si>
  <si>
    <t>12585401052219</t>
  </si>
  <si>
    <t>S-704</t>
  </si>
  <si>
    <t>16585401052218</t>
  </si>
  <si>
    <t>S-705</t>
  </si>
  <si>
    <t>12585401052220</t>
  </si>
  <si>
    <t>S-706</t>
  </si>
  <si>
    <t>14585401052215</t>
  </si>
  <si>
    <t>S-707</t>
  </si>
  <si>
    <t>13585401052215</t>
  </si>
  <si>
    <t>S-708</t>
  </si>
  <si>
    <t>13585401052216</t>
  </si>
  <si>
    <t>S-709</t>
  </si>
  <si>
    <t>15585401052222</t>
  </si>
  <si>
    <t>S-726</t>
  </si>
  <si>
    <t>15585401052220</t>
  </si>
  <si>
    <t>S-727</t>
  </si>
  <si>
    <t>14585401052213</t>
  </si>
  <si>
    <t>S-732</t>
  </si>
  <si>
    <t>12585701052223</t>
  </si>
  <si>
    <t>S-750</t>
  </si>
  <si>
    <t>14585401052214</t>
  </si>
  <si>
    <t>S-789</t>
  </si>
  <si>
    <t>15585401052221</t>
  </si>
  <si>
    <t>S-799</t>
  </si>
  <si>
    <t>15585401052223</t>
  </si>
  <si>
    <t>S-803</t>
  </si>
  <si>
    <t>15585401052224</t>
  </si>
  <si>
    <t>S-805</t>
  </si>
  <si>
    <t>15585401052225</t>
  </si>
  <si>
    <t>S-806</t>
  </si>
  <si>
    <t>15585401052226</t>
  </si>
  <si>
    <t>S-807</t>
  </si>
  <si>
    <t>15585401052216</t>
  </si>
  <si>
    <t>S-808</t>
  </si>
  <si>
    <t>12585401052212</t>
  </si>
  <si>
    <t>S-815</t>
  </si>
  <si>
    <t>11585401052214</t>
  </si>
  <si>
    <t>S-863</t>
  </si>
  <si>
    <t>12585701052216</t>
  </si>
  <si>
    <t>S-985</t>
  </si>
  <si>
    <t>12585401052217</t>
  </si>
  <si>
    <t>S-986</t>
  </si>
  <si>
    <t>15585401052227</t>
  </si>
  <si>
    <t>S-987</t>
  </si>
  <si>
    <t>12585401052218</t>
  </si>
  <si>
    <t>S-1014</t>
  </si>
  <si>
    <t>12585501052214</t>
  </si>
  <si>
    <t>S-1015</t>
  </si>
  <si>
    <t>12585501052213</t>
  </si>
  <si>
    <t>S-1018</t>
  </si>
  <si>
    <t>12585701052217</t>
  </si>
  <si>
    <t>S-1033</t>
  </si>
  <si>
    <t>12585701052218</t>
  </si>
  <si>
    <t>S-1034</t>
  </si>
  <si>
    <t>12585701052219</t>
  </si>
  <si>
    <t>S-1175</t>
  </si>
  <si>
    <t>14585701052212</t>
  </si>
  <si>
    <t>S-1176</t>
  </si>
  <si>
    <t>15585701052212</t>
  </si>
  <si>
    <t>S-1177</t>
  </si>
  <si>
    <t>16585701052210</t>
  </si>
  <si>
    <t>S-1194</t>
  </si>
  <si>
    <t>15585701052213</t>
  </si>
  <si>
    <t>S-1195</t>
  </si>
  <si>
    <t>16585701052212</t>
  </si>
  <si>
    <t>S-1196</t>
  </si>
  <si>
    <t>16585701052213</t>
  </si>
  <si>
    <t>S-1197</t>
  </si>
  <si>
    <t>14585701052213</t>
  </si>
  <si>
    <t>S-1199</t>
  </si>
  <si>
    <t>17585701052210</t>
  </si>
  <si>
    <t>S-1201</t>
  </si>
  <si>
    <t>17585701052212</t>
  </si>
  <si>
    <t>S-1203</t>
  </si>
  <si>
    <t>13585701052212</t>
  </si>
  <si>
    <t>S-1204</t>
  </si>
  <si>
    <t>17585701052213</t>
  </si>
  <si>
    <t>S-1206</t>
  </si>
  <si>
    <t>14585501052212</t>
  </si>
  <si>
    <t>S-1207</t>
  </si>
  <si>
    <t>16585501052210</t>
  </si>
  <si>
    <t>S-1208</t>
  </si>
  <si>
    <t>16585501052212</t>
  </si>
  <si>
    <t>S-1214</t>
  </si>
  <si>
    <t>15585701052219</t>
  </si>
  <si>
    <t>S-1218</t>
  </si>
  <si>
    <t>13585501052214</t>
  </si>
  <si>
    <t>S-1222</t>
  </si>
  <si>
    <t>13585501052210</t>
  </si>
  <si>
    <t>S-1224</t>
  </si>
  <si>
    <t>16585501052214</t>
  </si>
  <si>
    <t>S-1228</t>
  </si>
  <si>
    <t>13585701052217</t>
  </si>
  <si>
    <t>Loogootee</t>
  </si>
  <si>
    <t>S-1229</t>
  </si>
  <si>
    <t>13585701052218</t>
  </si>
  <si>
    <t>S-1230</t>
  </si>
  <si>
    <t>14585701052214</t>
  </si>
  <si>
    <t>completed</t>
  </si>
  <si>
    <t>S-1231</t>
  </si>
  <si>
    <t>20585701052219</t>
  </si>
  <si>
    <t>S-1232</t>
  </si>
  <si>
    <t>18585701052221</t>
  </si>
  <si>
    <t>S-1233</t>
  </si>
  <si>
    <t>18585701052212</t>
  </si>
  <si>
    <t>S-1234</t>
  </si>
  <si>
    <t>13585701052215</t>
  </si>
  <si>
    <t>Petersburg</t>
  </si>
  <si>
    <t>S-1235</t>
  </si>
  <si>
    <t>14585701052216</t>
  </si>
  <si>
    <t>S-1236</t>
  </si>
  <si>
    <t>14585701052217</t>
  </si>
  <si>
    <t>S-1237</t>
  </si>
  <si>
    <t>15585701052214</t>
  </si>
  <si>
    <t>S-1238</t>
  </si>
  <si>
    <t>19585701052212</t>
  </si>
  <si>
    <t>20585501052210</t>
  </si>
  <si>
    <t>Oakland City</t>
  </si>
  <si>
    <t>initiated</t>
  </si>
  <si>
    <t>S-1243</t>
  </si>
  <si>
    <t>16585701052214</t>
  </si>
  <si>
    <t>S-1244</t>
  </si>
  <si>
    <t>18585701052213</t>
  </si>
  <si>
    <t>in service</t>
  </si>
  <si>
    <t>S-1253</t>
  </si>
  <si>
    <t>13585501052212</t>
  </si>
  <si>
    <t>S-1254</t>
  </si>
  <si>
    <t>17585701052214</t>
  </si>
  <si>
    <t>S-1257</t>
  </si>
  <si>
    <t>18585701052214</t>
  </si>
  <si>
    <t>S-1260</t>
  </si>
  <si>
    <t>18585701052215</t>
  </si>
  <si>
    <t>S-1261</t>
  </si>
  <si>
    <t>19585701052213</t>
  </si>
  <si>
    <t>S-1262</t>
  </si>
  <si>
    <t>18585701052216</t>
  </si>
  <si>
    <t>S-1264</t>
  </si>
  <si>
    <t>19585701052214</t>
  </si>
  <si>
    <t>S-1265</t>
  </si>
  <si>
    <t>17585701052215</t>
  </si>
  <si>
    <t>S-1268</t>
  </si>
  <si>
    <t>15585701052215</t>
  </si>
  <si>
    <t>S-1271</t>
  </si>
  <si>
    <t>17585701052216</t>
  </si>
  <si>
    <t>19585401052212</t>
  </si>
  <si>
    <t>19585401052213</t>
  </si>
  <si>
    <t>S-1353</t>
  </si>
  <si>
    <t>16585401052212</t>
  </si>
  <si>
    <t>S-1354</t>
  </si>
  <si>
    <t>16585401052213</t>
  </si>
  <si>
    <t>S-1355</t>
  </si>
  <si>
    <t>17585401052213</t>
  </si>
  <si>
    <t>S-1356</t>
  </si>
  <si>
    <t>15585401052210</t>
  </si>
  <si>
    <t>S-1358</t>
  </si>
  <si>
    <t>16585401052215</t>
  </si>
  <si>
    <t>S-1359</t>
  </si>
  <si>
    <t>19585401052214</t>
  </si>
  <si>
    <t>S-1362</t>
  </si>
  <si>
    <t>19585401052215</t>
  </si>
  <si>
    <t>S-1366</t>
  </si>
  <si>
    <t>17585401052214</t>
  </si>
  <si>
    <t xml:space="preserve">Cast Iron / Plastic </t>
  </si>
  <si>
    <t>19585401052218</t>
  </si>
  <si>
    <t>S-1370</t>
  </si>
  <si>
    <t>19585401052225</t>
  </si>
  <si>
    <t>S-1371</t>
  </si>
  <si>
    <t>18585401052213</t>
  </si>
  <si>
    <t>S-1372</t>
  </si>
  <si>
    <t>18585401052214</t>
  </si>
  <si>
    <t>S-1373</t>
  </si>
  <si>
    <t>16585401052219</t>
  </si>
  <si>
    <t>S-1374</t>
  </si>
  <si>
    <t>18585401052215</t>
  </si>
  <si>
    <t>S-1375</t>
  </si>
  <si>
    <t>19585401052226</t>
  </si>
  <si>
    <t>S-1376</t>
  </si>
  <si>
    <t>17585401052215</t>
  </si>
  <si>
    <t>S-1377</t>
  </si>
  <si>
    <t>17585401052216</t>
  </si>
  <si>
    <t>S-1381</t>
  </si>
  <si>
    <t>18585401052216</t>
  </si>
  <si>
    <t>S-1383</t>
  </si>
  <si>
    <t>19585401052219</t>
  </si>
  <si>
    <t>S-1384</t>
  </si>
  <si>
    <t>19585401052220</t>
  </si>
  <si>
    <t>S-1491</t>
  </si>
  <si>
    <t>13585401052212</t>
  </si>
  <si>
    <t>S-1492</t>
  </si>
  <si>
    <t>13585401052213</t>
  </si>
  <si>
    <t>S-1535</t>
  </si>
  <si>
    <t>14585701052218</t>
  </si>
  <si>
    <t>S-1560</t>
  </si>
  <si>
    <t>13585401052217</t>
  </si>
  <si>
    <t>S-1565</t>
  </si>
  <si>
    <t>17585701052217</t>
  </si>
  <si>
    <t>S-1742</t>
  </si>
  <si>
    <t>14585501052210</t>
  </si>
  <si>
    <t>S-1743</t>
  </si>
  <si>
    <t>15585401052212</t>
  </si>
  <si>
    <t>S-1853</t>
  </si>
  <si>
    <t>14585401052212</t>
  </si>
  <si>
    <t>S-1912</t>
  </si>
  <si>
    <t>14585701052222</t>
  </si>
  <si>
    <t>S-1919</t>
  </si>
  <si>
    <t>14585701052223</t>
  </si>
  <si>
    <t>S-1928</t>
  </si>
  <si>
    <t>14585701052224</t>
  </si>
  <si>
    <t>S-1929</t>
  </si>
  <si>
    <t>14585701052225</t>
  </si>
  <si>
    <t>S-1932</t>
  </si>
  <si>
    <t>16585501052213</t>
  </si>
  <si>
    <t>S-1982</t>
  </si>
  <si>
    <t>17585701052218</t>
  </si>
  <si>
    <t>S-2037</t>
  </si>
  <si>
    <t>15585701052210</t>
  </si>
  <si>
    <t>S-2041</t>
  </si>
  <si>
    <t>15585401052213</t>
  </si>
  <si>
    <t>S-2045</t>
  </si>
  <si>
    <t>15585401052217</t>
  </si>
  <si>
    <t>S-2078</t>
  </si>
  <si>
    <t>15585401052228</t>
  </si>
  <si>
    <t>S-2079 [F]</t>
  </si>
  <si>
    <t>15585401052229</t>
  </si>
  <si>
    <t>S-2080</t>
  </si>
  <si>
    <t>16585401052210</t>
  </si>
  <si>
    <t>19585401052221</t>
  </si>
  <si>
    <t>S-2101</t>
  </si>
  <si>
    <t>16585401052216</t>
  </si>
  <si>
    <t>S-2102</t>
  </si>
  <si>
    <t>16585501052216</t>
  </si>
  <si>
    <t>S-2103</t>
  </si>
  <si>
    <t>16585701052215</t>
  </si>
  <si>
    <t>S-2105</t>
  </si>
  <si>
    <t>16585501052217</t>
  </si>
  <si>
    <t>S-2110 [F]</t>
  </si>
  <si>
    <t>16585401052214</t>
  </si>
  <si>
    <t>S-2111</t>
  </si>
  <si>
    <t>16585401052217</t>
  </si>
  <si>
    <t>S-2132</t>
  </si>
  <si>
    <t>16585701052217</t>
  </si>
  <si>
    <t>S-2134</t>
  </si>
  <si>
    <t>16585701052218</t>
  </si>
  <si>
    <t>S-2169</t>
  </si>
  <si>
    <t>17585401052217</t>
  </si>
  <si>
    <t>S-2170</t>
  </si>
  <si>
    <t>19585401052227</t>
  </si>
  <si>
    <t>S-2172</t>
  </si>
  <si>
    <t>18585401052217</t>
  </si>
  <si>
    <t>S-2173</t>
  </si>
  <si>
    <t>18585401052218</t>
  </si>
  <si>
    <t>S-2176</t>
  </si>
  <si>
    <t>18585401052219</t>
  </si>
  <si>
    <t>S-2177</t>
  </si>
  <si>
    <t>18585401052220</t>
  </si>
  <si>
    <t>S-2178</t>
  </si>
  <si>
    <t>18585401052221</t>
  </si>
  <si>
    <t>S-2183</t>
  </si>
  <si>
    <t>17585401052218</t>
  </si>
  <si>
    <t>S-2190</t>
  </si>
  <si>
    <t>18585701052217</t>
  </si>
  <si>
    <t>S-2192</t>
  </si>
  <si>
    <t>18585701052218</t>
  </si>
  <si>
    <t>S-2195</t>
  </si>
  <si>
    <t>17585701052219</t>
  </si>
  <si>
    <t>S-2198</t>
  </si>
  <si>
    <t>19585701052215</t>
  </si>
  <si>
    <t>S-2200</t>
  </si>
  <si>
    <t>17585701052220</t>
  </si>
  <si>
    <t>S-2285</t>
  </si>
  <si>
    <t>19585401052229</t>
  </si>
  <si>
    <t>1476+4194</t>
  </si>
  <si>
    <t>S-2290 [F]</t>
  </si>
  <si>
    <t>17585401052212</t>
  </si>
  <si>
    <t>S-2282</t>
  </si>
  <si>
    <t>17585401052210</t>
  </si>
  <si>
    <t>S-2284</t>
  </si>
  <si>
    <t>19585401052228</t>
  </si>
  <si>
    <t>S-2297</t>
  </si>
  <si>
    <t>18585701052219</t>
  </si>
  <si>
    <t>S-2302</t>
  </si>
  <si>
    <t>19585701052216</t>
  </si>
  <si>
    <t>S-2315</t>
  </si>
  <si>
    <t>17585501052210</t>
  </si>
  <si>
    <t>S-2347</t>
  </si>
  <si>
    <t>17585701052221</t>
  </si>
  <si>
    <t>S-2372</t>
  </si>
  <si>
    <t>17585701052222</t>
  </si>
  <si>
    <t>S-2373</t>
  </si>
  <si>
    <t>17585701052223</t>
  </si>
  <si>
    <t>S-2386</t>
  </si>
  <si>
    <t>17585701052224</t>
  </si>
  <si>
    <t>S-2395</t>
  </si>
  <si>
    <t>17585401052219</t>
  </si>
  <si>
    <t>S-2407</t>
  </si>
  <si>
    <t>17585401052220</t>
  </si>
  <si>
    <t>S-2408</t>
  </si>
  <si>
    <t>17585401052221</t>
  </si>
  <si>
    <t>S-2409</t>
  </si>
  <si>
    <t>17585401052222</t>
  </si>
  <si>
    <t xml:space="preserve">S-2416 </t>
  </si>
  <si>
    <t>17585401052011</t>
  </si>
  <si>
    <t>S-2420 [F]</t>
  </si>
  <si>
    <t>17585401052225</t>
  </si>
  <si>
    <t>S-2422</t>
  </si>
  <si>
    <t>17585701052226</t>
  </si>
  <si>
    <t>S-2435</t>
  </si>
  <si>
    <t>18585701052210</t>
  </si>
  <si>
    <t xml:space="preserve">Bare Steel / Plastic </t>
  </si>
  <si>
    <t>S-2440</t>
  </si>
  <si>
    <t>18585401052210</t>
  </si>
  <si>
    <t>S-2446</t>
  </si>
  <si>
    <t>18585401052212</t>
  </si>
  <si>
    <t>S-2452</t>
  </si>
  <si>
    <t>18585701052220</t>
  </si>
  <si>
    <t>S-2464</t>
  </si>
  <si>
    <t>18585701052222</t>
  </si>
  <si>
    <t>S-2465</t>
  </si>
  <si>
    <t>18585701052223</t>
  </si>
  <si>
    <t>S-2466</t>
  </si>
  <si>
    <t>18585701052224</t>
  </si>
  <si>
    <t>S-2467</t>
  </si>
  <si>
    <t>18585701052225</t>
  </si>
  <si>
    <t>S-2473</t>
  </si>
  <si>
    <t>19585701052217</t>
  </si>
  <si>
    <t>Bicknell</t>
  </si>
  <si>
    <t>S-2484</t>
  </si>
  <si>
    <t>19585401052210</t>
  </si>
  <si>
    <t>S-2488</t>
  </si>
  <si>
    <t>19585701052210</t>
  </si>
  <si>
    <t>S-2498</t>
  </si>
  <si>
    <t>19585401052230</t>
  </si>
  <si>
    <t>19585401052222</t>
  </si>
  <si>
    <t>S-2528</t>
  </si>
  <si>
    <t>20585701052210</t>
  </si>
  <si>
    <t>TOTALS</t>
  </si>
  <si>
    <t>TOTALS - COMPLETED / IN-SERVICE</t>
  </si>
  <si>
    <t xml:space="preserve">             </t>
  </si>
  <si>
    <t>[A] Represents only Investment Costs on Projects In Service prior to December 31, 2020, excludes Removal Costs.  Negative activity represents corrections posted to the work order during the trailing charge period.</t>
  </si>
  <si>
    <t>[B] "Open" - Project is currently active and receiving charges, not yet in-service or complete, and not yet depreciating or receiving Post In-Service AFUDC accounting treatment.</t>
  </si>
  <si>
    <t xml:space="preserve">      "Initiated" - Project is included in the current year plan and is currently awaiting approval.</t>
  </si>
  <si>
    <t>"Suspended" - Project engineering and planning has been performed.  Project status will change to "Open" when construction begins.</t>
  </si>
  <si>
    <t>"In-Service" - Project is depreciating (deferred) and is receiving Post In-Service AFUDC.  Project is not unitized as final as-built is pending; preliminary footage data has been provided (above), if available.</t>
  </si>
  <si>
    <t>"Complete" - Project is depreciating (deferred) and is receiving Post In-Service AFUDC.</t>
  </si>
  <si>
    <t xml:space="preserve">[C] Services Retired represents services retired and not replaced.   </t>
  </si>
  <si>
    <t>[D] Service line footage retired represents the feet of service retired due to a retired or replaced service line.</t>
  </si>
  <si>
    <t>[E] Services replaced represents the number of services that remain active after the project has been completed.  The total count represents the number of steel services replaced + the number of tie-ins of existing plastic services.</t>
  </si>
  <si>
    <t>[F] Retirement only work order, which only included removal expenses; therefore, no costs are reflected above for this work order.</t>
  </si>
  <si>
    <t>[G] Main retirement footages may be higer or lower than installed footage.  This is attributable to dual mains being replaced with single main, or single main replaced with dual mains, service tie-overs where high pressure mains existed, proximity of existing high pressure mains to customer base and reduced customer base in some areas.</t>
  </si>
  <si>
    <t>[H] Work orders labeled "CSIA Recoverable" consist of bare steel cast iron replacement work orders that are now eligible for recovery via the CSIA order granted in 2014.  CSIA eligible work orders are those that had a zero CWIP balance or had not broken ground on January 1, 2014.  Work orders labeled "Excluded from CSIA" are not eligible and will continue to follow the BSCI replacement program.</t>
  </si>
  <si>
    <t>2022-2026 TDSIC Plan</t>
  </si>
  <si>
    <t>21585701G61210</t>
  </si>
  <si>
    <t>PUBLIC IMPROVEMENT - DIST</t>
  </si>
  <si>
    <t>IN BICKNELL-SR 67-BASED ON AVAILABLE INFORMATION WE WILL RELOCATE APPROXIMATELY 500' OF 2" PE MAIN DUE TO ROAD &amp; DRAINAGE IMPROVEMENT PROJECT</t>
  </si>
  <si>
    <t>21585701G61212</t>
  </si>
  <si>
    <t>IN-WASHINGTON-WASHINGTON AVE FROM EMISON AVE TO BELLE CROSSING-BASED ON AVAILABLE INFORMATION WE WILL RELOCATE APPROXIMATELY 5,100' OF 6", 4", &amp; 2" PE MAIN AND REPLACE APPROXIMATELY 40 SERVICES FOR ROAD RECONSTRUCTION PROJECT.</t>
  </si>
  <si>
    <t>21585501G61210</t>
  </si>
  <si>
    <t>IN-MT VERNON-WESTERN BYPASS ROAD FROM HWY 62 TO NORTH POSEY COUNTY-BASED ON AVAILABLE INFORMATION WE WILL RELOCATE APPROXIMATELY 600' OF 4" &amp; 2" PE MAIN DUE TO NEW ROAD CONSTRUCTION PROJECT.</t>
  </si>
  <si>
    <t>21585501G61212</t>
  </si>
  <si>
    <t>IN-MT VERNON-SR 62 &amp; PORT ROAD-BASED ON AVAILABLE INFORMATION WE WILL RELOCATE APPROXIMATELY 200' OF 6" STL MAIN DUE TO NEW DRAINAGE IMPROVEMENT PROJECT.</t>
  </si>
  <si>
    <t>21585401G61215</t>
  </si>
  <si>
    <t>IN-EVANSVILLE-BOONVILLE NEW HARMONY RD FROM PETERSBURG RD TO HWY 57-BASED ON AVAILABLE INFORMATION WE WILL RELOCATE APPROXIMATELY 5,000' OF 4" PE MAIN AND REPLACE APPROXIMATELY 40 SERVICES DUE TO ROAD RECONSTRUCTION PROJECT.</t>
  </si>
  <si>
    <t>21585401G61210</t>
  </si>
  <si>
    <t xml:space="preserve">IN-EVANSVILLE-WALNUT STREET (PHASE 2) FROM MARTIN LUTHER KING BLVD TO HWY 41-BASED ON AVAILABLE INFORMATION WE WILL RELOCATE APPROXIMATELY 4,200' OF 4" &amp; 2" PE MAIN AND REPLACE APPROXIMATELY 20 SERVICES DUE TO ROAD RECONSTRUCTION PROJECT. </t>
  </si>
  <si>
    <t>21585401G61218</t>
  </si>
  <si>
    <t xml:space="preserve">IN-EVANSVILLE-WALNUT STREET (PHASE 3) FROM WEINBACH AVENUE TO VANN AVENUE-BASED ON AVAILABLE INFORMATION WE WILL RELOCATE APPROXIMATELY 4,800' OF 8", 6", 4", &amp; 2" PE MAIN AND REPLACE APPROXIMATELY 14 SERVICES DUE TO ROAD RECONSTRUCTION PROJECT. </t>
  </si>
  <si>
    <t>21585701G61216</t>
  </si>
  <si>
    <t>IN-WASHINGTON-HIGHWAY 550 FROM STATE STREET TO SE 3RD STREET-BASED ON AVAILABLE INFORMATION WE WILL RELOCATE APPROXIMATELY 7,300' OF 4" &amp; 2" PE MAIN AND 1,000' OF 6" STL MAIN AND REPLACE APPROXIMATELY 31 SERVICES DUE TO ROAD RECONSTRUCTION.</t>
  </si>
  <si>
    <t>RURAL EXTENSION</t>
  </si>
  <si>
    <t>S-XA-12109</t>
  </si>
  <si>
    <t>SYSTEM IMPROVEMENT - SAFETY AND RELIABILITY- DIST</t>
  </si>
  <si>
    <t xml:space="preserve">Remove 2” Bottleneck on Oak Grove Rd. (Newburgh):Install approximately 3700’ of 6” PE main on Oak Grove from just east of Oak Trails to Anderson to increase system pressure for residential development </t>
  </si>
  <si>
    <t>S-XA-12110</t>
  </si>
  <si>
    <t>IN-FRANCISCO-STATE ROAD 64 &amp; CR 725 E: INSTALL ~4000' OF MP PE GAS MAIN ON CR 725 &amp; E SR 64 TO FEED CUSTOMERS FED OFF EXISTING REGULATOR STATION (STA #: 315). If Texas Gas had to shut down the transmission line for any reason customers would lose gas service. In order to correct this situation, we must run a gas main extension along SR 64 and transfer the services to the new gas main. </t>
  </si>
  <si>
    <t>S-XA-12111</t>
  </si>
  <si>
    <t xml:space="preserve">Rebuild Station V-04 at Hart Street Station so that valves are far enough from the regulators so taps to check upstream, downstream, and for lockup pressure.  Enhanced station and system operation and safety.  </t>
  </si>
  <si>
    <t>S-XA-12112</t>
  </si>
  <si>
    <t>21585601051210</t>
  </si>
  <si>
    <t>Rebuild RS-164 (Newburgh):Replace existing 399 Regulators with dual run worker/monitor EZRs with 161EB pilots. Increased flow/pressure to Newburgh system for residential development.</t>
  </si>
  <si>
    <t>SWTDSIC01</t>
  </si>
  <si>
    <t>SYSTEM IMPROVEMENT - SAFETY AND RELIABILITY- STORAGE</t>
  </si>
  <si>
    <t>Midway - Full Emergency Shutdown System to enhance safety of storage field.</t>
  </si>
  <si>
    <t>TARGETED ECONOMIC DEVELOPMENT</t>
  </si>
  <si>
    <t>21585401G61212</t>
  </si>
  <si>
    <t>IN-EVANSVILLE-BOONVILLE NEW HARMONY ROAD AT BRIDGE EAST OF BENDER ROAD AND WEST OF ST JOE AVENUE-BASED ON AVAILABLE INFORMATION WE WILL RELOCATE APPROXIMATELY 580' OF 4" &amp; 2" PE MAIN DUE TO NEW BRIDGE RECONSTRUCTION PROJECT.</t>
  </si>
  <si>
    <t>21585701G61213</t>
  </si>
  <si>
    <t xml:space="preserve">IN-VINCENNES-ELKHORN ROAD &amp; HWY 41 INTERSECTION-BASED ON AVAILABLE INFORMATION WE WILL RELOCATE APPROXIMATELY 500' OF 4" PE MAIN DUE TO INTERSECTION IMPROVEMENT PROJECT. </t>
  </si>
  <si>
    <t>21585401G61217</t>
  </si>
  <si>
    <t xml:space="preserve">IN-EVANSVILLE-OAK HILL ROAD (PHASE 2) FROM LYNCH ROAD TO EASTWOOD DRIVE-BASED ON AVAILABLE INFORMATION WE WILL RELOCATE APPROXIMATELY 10,000' OF 6", 4", &amp; 2" PE MAIN AND REPLACE APPROXIMATELY 70 SERVICES DUE TO ROAD RECONSTRUCTION PROJECT. </t>
  </si>
  <si>
    <t>21585401G61219</t>
  </si>
  <si>
    <t>IN-EVANSVILLE-OAK HILL ROAD (PHASE 1) FROM EASTWOOD DRIVE TO MILLERSBURG ROAD-BASED ON AVAILABLE INFORMATION WE WILL RELOCATE APPROXIMATELY 5,450' OF 6" &amp; 2" PE MAIN AND REPLACE APPROXIMATELY 45 SERVICES DUE TO ROAD RECONSTRUCTION PROJECT.</t>
  </si>
  <si>
    <t>21585601G61210</t>
  </si>
  <si>
    <t>IN-EVANSVILLE-TELEPHONE ROAD FROM BELL ROAD TO FUQUAY ROAD-BASED ON AVAILABLE INFORMATION WE WILL RELOCATE APPROXIMATELY 6,100' OF 6" &amp; 2" PE MAIN AND REPLACE APPROXIMATELY 40 SERVICES DUE TO RECONSTRUCTION PROJECT.</t>
  </si>
  <si>
    <t>21585401G61214</t>
  </si>
  <si>
    <t>IN-EVANSVILLE-MULTIPLE INTERSECTIONS ALONG LLOYD EXPRESSWAY-BASED ON AVAILABLE INFORMATION WE WILL RELOCATE APPROXIMATELY 400' OF 6", 4", &amp; 2" PE MAIN DUE TO INTERSECTION IMPROVEMENT PROJECT.</t>
  </si>
  <si>
    <t>S-XA-12107</t>
  </si>
  <si>
    <t>21585701051212</t>
  </si>
  <si>
    <t xml:space="preserve">Improve Pressure and Capacity on Vincennes/Washington HPD:Install approximately 3900’ of 12” steel main. </t>
  </si>
  <si>
    <t>S-XA-12108</t>
  </si>
  <si>
    <t>21585501051210</t>
  </si>
  <si>
    <t>IN-MOUNT VERNON-GREENBRIAR RD-GREENBRIAR ROAD REG STATION-UPRATE.  Install 1500 and tie over 15 SVC. Replace the existing main on Greenbriar Road, retire RS 336 and test the new gas main to the current MAOP of 60 PSIG test standard. </t>
  </si>
  <si>
    <t>SWTDSIC02</t>
  </si>
  <si>
    <t>OLIVER - STAUNTON</t>
  </si>
  <si>
    <t>OLP #2 Drill vertical well for withdrawal purposes only west of OLP-056 Travers#03.  Enhanced storage field reliability</t>
  </si>
  <si>
    <t>SWTDSIC03</t>
  </si>
  <si>
    <t>OLP #1 Drill vertical well for withdrawal purposes only west of OLP-056 Travers#03 . Enhanced storage field reliability</t>
  </si>
  <si>
    <t>SWTDSIC04</t>
  </si>
  <si>
    <t>OLIVER - SEBREE</t>
  </si>
  <si>
    <t>OLP OSS#1 Drill new vertical injection/withdrawal well in Sebree Formation (~550') Enhanced storage field reliability and capacity</t>
  </si>
  <si>
    <t>SWTDSIC05</t>
  </si>
  <si>
    <t>OLP OSS#2 Drill new vertical injection/withdrawal well in Sebree Formation (~550') Enhanced storage field reliability and capacity</t>
  </si>
  <si>
    <t>SWTDSIC06</t>
  </si>
  <si>
    <t>OLP OSS#3 Drill new vertical injection/withdrawal well in Sebree Formation (~550') Enhanced storage field reliability and capacity</t>
  </si>
  <si>
    <t>SWTDSIC07</t>
  </si>
  <si>
    <t xml:space="preserve">Install 2 stage compression and PLC for flow into TGT &amp;MWG utilize current drivers and building.  </t>
  </si>
  <si>
    <t>SYSTEM IMPROVEMENT - SAFETY AND RELIABILITY- TRANS</t>
  </si>
  <si>
    <t>Reroute station piping at Midway Storage Field to allow compression out of field for increased reliability during peak winter withdrawals.</t>
  </si>
  <si>
    <t>21585401G61216</t>
  </si>
  <si>
    <t xml:space="preserve">IN-EVANSVILLE-BASELINE ROAD (PHASE 2) FROM KORFF ROAD TO OLD STATE ROAD-BASED ON AVAILABLE INFORMATION WE WILL RELOCATE APPROXIMATELY 2,300' OF 4" PE MAIN DUE TO ROAD RECONSTRUCTION PROJECT. </t>
  </si>
  <si>
    <t>S-XA-12087</t>
  </si>
  <si>
    <t xml:space="preserve">Install 3,000' of 2" PE gas main on HWY 50 from Reg Station W-33 to county road 450 to remove 30 farm taps </t>
  </si>
  <si>
    <t>S-XA-12094</t>
  </si>
  <si>
    <t>Replace ~3,200 of 4" MPD main from Lemay to the USI take off with 6" PE. Gain 10# on the inlet to USI.</t>
  </si>
  <si>
    <t>S-XA-12088</t>
  </si>
  <si>
    <t>CANNELBURG</t>
  </si>
  <si>
    <t>IN-CANNELBURG-US 50: EXTEND 2" MP MDPE GAS DIST MAIN ~850' ALONG US 50 TO ELIMINATE USE OF HIGH PRESSURE SERVICES TO SURROUNDING HOUSES. RETIRE FARM TAPS ALONG MAIN EXTENSION AND INSTALL NEW SERVICE TO HOMES EFFECTED.</t>
  </si>
  <si>
    <t>S-XA-12089</t>
  </si>
  <si>
    <t>ELBERFELD</t>
  </si>
  <si>
    <t>IN-ELBERFELD-BROWN ST-RETIRE FARM TAPS: RETIRE 3 FARM TAPS THAT ARE TAPPED OFF TGT LINES NEAR THE WEST END OF BROWN ST. TO MITIGATE SAFETY RISK ASSOCIATED WITH DAMAGE TO THE TAPS.</t>
  </si>
  <si>
    <t>SWTDSIC08</t>
  </si>
  <si>
    <t>Install compression at Midway Station.  Backup compressor to ensure injection and withdrawal reliability for peak demand periods.  Existing compressor is 1966 vintage</t>
  </si>
  <si>
    <t>S-XA-12096</t>
  </si>
  <si>
    <t>FT BRANCH</t>
  </si>
  <si>
    <t>Install 1 mile of 4/6" HPD main from SR 68 to the North Warrick Industrial Park and regulator station. Provide high volume gas supply to the North Warrick Industrial Park area.</t>
  </si>
  <si>
    <t>S-XA-12090</t>
  </si>
  <si>
    <t>Replace ~2,700' of 2" MP main with 4" PE MP main on Old US 41.Remove 2 existing bottlenecks and create additional 4" feed to the Vincennes Industrial Park to support development.</t>
  </si>
  <si>
    <t>S-XA-12091</t>
  </si>
  <si>
    <t>Replace ~250' of 4" MP main with 6" PE MP main on State from SE 15th to Hillside. Remove existing bottleneck in major 6" feed to Washington system for enhanced reliability.</t>
  </si>
  <si>
    <t>S-XA-12093</t>
  </si>
  <si>
    <t>Replace ~1,600' of 2" HPD main from E. Gibson to Maple with 4" steel. Gain 35# on the inlet to RS-194 (Fort Branch) for Ft. Branch system reliability improvement.</t>
  </si>
  <si>
    <t>SWTDSIC09</t>
  </si>
  <si>
    <t xml:space="preserve">Run new transmission line from Staunton formation wells to main facility. </t>
  </si>
  <si>
    <t>S-XA-12095</t>
  </si>
  <si>
    <t xml:space="preserve">Evansville VIP to US41 pipeline - Install 4.75 miles of 8" HPD main from VIP north to Baseline Rd and west to US 41 250/385-psig system and regulator station. This improvement will provide support to the Highway 41 HP system and also the Vanderburgh Industrial Park area MP 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</si>
</sst>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000000000000"/>
    <numFmt numFmtId="165" formatCode="_(&quot;$&quot;* #,##0_);_(&quot;$&quot;* \(#,##0\);_(&quot;$&quot;* &quot;-&quot;??_);_(@_)"/>
    <numFmt numFmtId="166" formatCode="_(* #,##0_);_(* \(#,##0\);_(* &quot;-&quot;??_);_(@_)"/>
    <numFmt numFmtId="167" formatCode="&quot;$&quot;#,##0"/>
  </numFmts>
  <fonts count="23" x14ac:knownFonts="1">
    <font>
      <sz val="11"/>
      <color theme="1"/>
      <name val="Calibri"/>
      <family val="2"/>
      <scheme val="minor"/>
    </font>
    <font>
      <sz val="11"/>
      <color theme="1"/>
      <name val="Calibri"/>
      <family val="2"/>
      <scheme val="minor"/>
    </font>
    <font>
      <sz val="10"/>
      <name val="Arial"/>
      <family val="2"/>
    </font>
    <font>
      <b/>
      <sz val="14"/>
      <name val="Arial"/>
      <family val="2"/>
    </font>
    <font>
      <sz val="10"/>
      <color theme="1"/>
      <name val="Arial"/>
      <family val="2"/>
    </font>
    <font>
      <sz val="11"/>
      <color theme="1"/>
      <name val="Arial"/>
      <family val="2"/>
    </font>
    <font>
      <sz val="14"/>
      <color theme="1"/>
      <name val="Arial"/>
      <family val="2"/>
    </font>
    <font>
      <b/>
      <sz val="14"/>
      <color theme="1"/>
      <name val="Arial"/>
      <family val="2"/>
    </font>
    <font>
      <b/>
      <sz val="10"/>
      <name val="Arial"/>
      <family val="2"/>
    </font>
    <font>
      <sz val="11"/>
      <name val="Calibri"/>
      <family val="2"/>
      <scheme val="minor"/>
    </font>
    <font>
      <b/>
      <sz val="10"/>
      <color theme="1"/>
      <name val="Arial"/>
      <family val="2"/>
    </font>
    <font>
      <sz val="10"/>
      <color indexed="8"/>
      <name val="Arial"/>
      <family val="2"/>
    </font>
    <font>
      <b/>
      <sz val="14"/>
      <color rgb="FFFF0000"/>
      <name val="Arial"/>
      <family val="2"/>
    </font>
    <font>
      <b/>
      <sz val="10"/>
      <color rgb="FF00B050"/>
      <name val="Arial"/>
      <family val="2"/>
    </font>
    <font>
      <sz val="12"/>
      <name val="Arial"/>
      <family val="2"/>
    </font>
    <font>
      <b/>
      <i/>
      <sz val="10"/>
      <name val="Arial"/>
      <family val="2"/>
    </font>
    <font>
      <b/>
      <sz val="11"/>
      <color theme="1"/>
      <name val="Arial"/>
      <family val="2"/>
    </font>
    <font>
      <b/>
      <sz val="11"/>
      <name val="Arial"/>
      <family val="2"/>
    </font>
    <font>
      <b/>
      <sz val="8"/>
      <name val="Arial"/>
      <family val="2"/>
    </font>
    <font>
      <sz val="9"/>
      <name val="Arial"/>
      <family val="2"/>
    </font>
    <font>
      <sz val="8"/>
      <name val="Calibri"/>
      <family val="2"/>
      <scheme val="minor"/>
    </font>
    <font>
      <u/>
      <sz val="11"/>
      <color theme="1"/>
      <name val="Calibri"/>
      <family val="2"/>
      <scheme val="minor"/>
    </font>
    <font>
      <sz val="12"/>
      <color theme="1"/>
      <name val="Times New Roman"/>
      <family val="1"/>
    </font>
  </fonts>
  <fills count="8">
    <fill>
      <patternFill patternType="none"/>
    </fill>
    <fill>
      <patternFill patternType="gray125"/>
    </fill>
    <fill>
      <patternFill patternType="solid">
        <fgColor rgb="FFCCFFCC"/>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4" tint="0.59999389629810485"/>
        <bgColor theme="4" tint="0.79998168889431442"/>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s>
  <cellStyleXfs count="15">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11"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1" fillId="0" borderId="0" applyFont="0" applyFill="0" applyBorder="0" applyAlignment="0" applyProtection="0"/>
  </cellStyleXfs>
  <cellXfs count="221">
    <xf numFmtId="0" fontId="0" fillId="0" borderId="0" xfId="0"/>
    <xf numFmtId="0" fontId="2" fillId="0" borderId="0" xfId="4" applyProtection="1">
      <protection locked="0"/>
    </xf>
    <xf numFmtId="0" fontId="4" fillId="0" borderId="0" xfId="5" applyFont="1" applyAlignment="1" applyProtection="1">
      <alignment horizontal="left"/>
      <protection locked="0"/>
    </xf>
    <xf numFmtId="164" fontId="5" fillId="0" borderId="0" xfId="4" applyNumberFormat="1" applyFont="1" applyAlignment="1" applyProtection="1">
      <alignment horizontal="left" vertical="center"/>
      <protection locked="0"/>
    </xf>
    <xf numFmtId="0" fontId="6" fillId="0" borderId="0" xfId="4" applyFont="1" applyAlignment="1" applyProtection="1">
      <alignment horizontal="left" vertical="center"/>
      <protection locked="0"/>
    </xf>
    <xf numFmtId="0" fontId="6" fillId="0" borderId="0" xfId="4" applyFont="1" applyAlignment="1" applyProtection="1">
      <alignment horizontal="center" vertical="center"/>
      <protection locked="0"/>
    </xf>
    <xf numFmtId="0" fontId="4" fillId="0" borderId="0" xfId="4" applyFont="1" applyAlignment="1" applyProtection="1">
      <alignment horizontal="left"/>
      <protection locked="0"/>
    </xf>
    <xf numFmtId="0" fontId="3" fillId="0" borderId="0" xfId="4" applyFont="1" applyAlignment="1" applyProtection="1">
      <alignment horizontal="center" vertical="center"/>
      <protection locked="0"/>
    </xf>
    <xf numFmtId="0" fontId="3" fillId="0" borderId="0" xfId="4" applyFont="1" applyAlignment="1" applyProtection="1">
      <alignment horizontal="left" vertical="center"/>
      <protection locked="0"/>
    </xf>
    <xf numFmtId="0" fontId="2" fillId="0" borderId="0" xfId="4" applyAlignment="1" applyProtection="1">
      <alignment horizontal="left"/>
      <protection locked="0"/>
    </xf>
    <xf numFmtId="0" fontId="4" fillId="0" borderId="0" xfId="4" applyFont="1" applyProtection="1">
      <protection locked="0"/>
    </xf>
    <xf numFmtId="0" fontId="5" fillId="0" borderId="0" xfId="4" applyFont="1" applyAlignment="1" applyProtection="1">
      <alignment horizontal="left" vertical="center"/>
      <protection locked="0"/>
    </xf>
    <xf numFmtId="0" fontId="7" fillId="0" borderId="0" xfId="4" applyFont="1" applyAlignment="1" applyProtection="1">
      <alignment horizontal="left" vertical="center"/>
      <protection locked="0"/>
    </xf>
    <xf numFmtId="0" fontId="7" fillId="0" borderId="0" xfId="4" applyFont="1" applyAlignment="1" applyProtection="1">
      <alignment horizontal="center" vertical="center"/>
      <protection locked="0"/>
    </xf>
    <xf numFmtId="0" fontId="8" fillId="0" borderId="0" xfId="4" applyFont="1" applyAlignment="1" applyProtection="1">
      <alignment horizontal="center" vertical="center" wrapText="1"/>
      <protection locked="0"/>
    </xf>
    <xf numFmtId="5" fontId="8" fillId="0" borderId="0" xfId="4" applyNumberFormat="1" applyFont="1" applyAlignment="1" applyProtection="1">
      <alignment horizontal="center"/>
      <protection locked="0"/>
    </xf>
    <xf numFmtId="0" fontId="4" fillId="0" borderId="0" xfId="4" applyFont="1" applyAlignment="1" applyProtection="1">
      <alignment horizontal="center"/>
      <protection locked="0"/>
    </xf>
    <xf numFmtId="0" fontId="5" fillId="0" borderId="0" xfId="4" applyFont="1" applyAlignment="1" applyProtection="1">
      <alignment horizontal="left"/>
      <protection locked="0"/>
    </xf>
    <xf numFmtId="0" fontId="9" fillId="0" borderId="0" xfId="4" applyFont="1" applyAlignment="1" applyProtection="1">
      <alignment horizontal="center" vertical="center" wrapText="1"/>
      <protection locked="0"/>
    </xf>
    <xf numFmtId="5" fontId="8" fillId="0" borderId="0" xfId="4" applyNumberFormat="1" applyFont="1" applyAlignment="1" applyProtection="1">
      <alignment horizontal="center" wrapText="1"/>
      <protection locked="0"/>
    </xf>
    <xf numFmtId="0" fontId="2" fillId="0" borderId="0" xfId="4" applyAlignment="1" applyProtection="1">
      <alignment horizontal="center"/>
      <protection locked="0"/>
    </xf>
    <xf numFmtId="0" fontId="2" fillId="0" borderId="0" xfId="4" applyAlignment="1" applyProtection="1">
      <alignment horizontal="left" wrapText="1"/>
      <protection locked="0"/>
    </xf>
    <xf numFmtId="0" fontId="2" fillId="2" borderId="0" xfId="4" applyFill="1" applyProtection="1">
      <protection locked="0"/>
    </xf>
    <xf numFmtId="0" fontId="2" fillId="2" borderId="0" xfId="4" applyFill="1" applyAlignment="1" applyProtection="1">
      <alignment horizontal="center" vertical="center"/>
      <protection locked="0"/>
    </xf>
    <xf numFmtId="0" fontId="2" fillId="2" borderId="0" xfId="4" applyFill="1" applyAlignment="1" applyProtection="1">
      <alignment horizontal="left"/>
      <protection locked="0"/>
    </xf>
    <xf numFmtId="0" fontId="2" fillId="0" borderId="0" xfId="4" applyAlignment="1" applyProtection="1">
      <alignment wrapText="1"/>
      <protection locked="0"/>
    </xf>
    <xf numFmtId="0" fontId="4" fillId="0" borderId="0" xfId="5" applyFont="1" applyAlignment="1" applyProtection="1">
      <alignment horizontal="left" wrapText="1"/>
      <protection locked="0"/>
    </xf>
    <xf numFmtId="164" fontId="5" fillId="0" borderId="0" xfId="4" applyNumberFormat="1" applyFont="1" applyAlignment="1" applyProtection="1">
      <alignment horizontal="left" vertical="center" wrapText="1"/>
      <protection locked="0"/>
    </xf>
    <xf numFmtId="0" fontId="6" fillId="0" borderId="0" xfId="4" applyFont="1" applyAlignment="1" applyProtection="1">
      <alignment horizontal="left" vertical="center" wrapText="1"/>
      <protection locked="0"/>
    </xf>
    <xf numFmtId="0" fontId="3" fillId="0" borderId="0" xfId="4" applyFont="1" applyAlignment="1" applyProtection="1">
      <alignment horizontal="left" vertical="center" wrapText="1"/>
      <protection locked="0"/>
    </xf>
    <xf numFmtId="0" fontId="7" fillId="0" borderId="0" xfId="4" applyFont="1" applyAlignment="1" applyProtection="1">
      <alignment horizontal="center" vertical="center" wrapText="1"/>
      <protection locked="0"/>
    </xf>
    <xf numFmtId="0" fontId="7" fillId="0" borderId="0" xfId="4" applyFont="1" applyAlignment="1" applyProtection="1">
      <alignment horizontal="left" vertical="center" wrapText="1"/>
      <protection locked="0"/>
    </xf>
    <xf numFmtId="0" fontId="3" fillId="0" borderId="0" xfId="4" applyFont="1" applyAlignment="1" applyProtection="1">
      <alignment horizontal="center" vertical="center" wrapText="1"/>
      <protection locked="0"/>
    </xf>
    <xf numFmtId="0" fontId="4" fillId="0" borderId="0" xfId="4" applyFont="1" applyAlignment="1" applyProtection="1">
      <alignment wrapText="1"/>
      <protection locked="0"/>
    </xf>
    <xf numFmtId="0" fontId="5" fillId="0" borderId="0" xfId="4" applyFont="1" applyAlignment="1" applyProtection="1">
      <alignment vertical="center" wrapText="1"/>
      <protection locked="0"/>
    </xf>
    <xf numFmtId="0" fontId="3" fillId="0" borderId="0" xfId="4" applyFont="1" applyAlignment="1" applyProtection="1">
      <alignment horizontal="left" wrapText="1"/>
      <protection locked="0"/>
    </xf>
    <xf numFmtId="0" fontId="7" fillId="0" borderId="0" xfId="4" applyFont="1" applyAlignment="1" applyProtection="1">
      <alignment horizontal="center" wrapText="1"/>
      <protection locked="0"/>
    </xf>
    <xf numFmtId="0" fontId="7" fillId="0" borderId="0" xfId="4" applyFont="1" applyAlignment="1" applyProtection="1">
      <alignment horizontal="left" wrapText="1"/>
      <protection locked="0"/>
    </xf>
    <xf numFmtId="0" fontId="8" fillId="0" borderId="0" xfId="4" applyFont="1" applyAlignment="1" applyProtection="1">
      <alignment horizontal="center" wrapText="1"/>
      <protection locked="0"/>
    </xf>
    <xf numFmtId="0" fontId="4" fillId="0" borderId="0" xfId="4" applyFont="1" applyAlignment="1" applyProtection="1">
      <alignment horizontal="center" wrapText="1"/>
      <protection locked="0"/>
    </xf>
    <xf numFmtId="0" fontId="5" fillId="0" borderId="0" xfId="4" applyFont="1" applyAlignment="1" applyProtection="1">
      <alignment horizontal="left" wrapText="1"/>
      <protection locked="0"/>
    </xf>
    <xf numFmtId="0" fontId="4" fillId="0" borderId="0" xfId="4" applyFont="1" applyAlignment="1" applyProtection="1">
      <alignment horizontal="left" wrapText="1"/>
      <protection locked="0"/>
    </xf>
    <xf numFmtId="0" fontId="2" fillId="0" borderId="0" xfId="4" applyAlignment="1" applyProtection="1">
      <alignment horizontal="center" vertical="center" wrapText="1"/>
      <protection locked="0"/>
    </xf>
    <xf numFmtId="1" fontId="3" fillId="0" borderId="0" xfId="4" applyNumberFormat="1" applyFont="1" applyAlignment="1" applyProtection="1">
      <alignment vertical="center"/>
      <protection locked="0"/>
    </xf>
    <xf numFmtId="0" fontId="3" fillId="0" borderId="0" xfId="4" applyFont="1" applyAlignment="1" applyProtection="1">
      <alignment vertical="center"/>
      <protection locked="0"/>
    </xf>
    <xf numFmtId="0" fontId="5" fillId="0" borderId="0" xfId="4" applyFont="1" applyAlignment="1" applyProtection="1">
      <alignment vertical="center"/>
      <protection locked="0"/>
    </xf>
    <xf numFmtId="0" fontId="3" fillId="0" borderId="0" xfId="4" applyFont="1" applyAlignment="1" applyProtection="1">
      <alignment horizontal="left"/>
      <protection locked="0"/>
    </xf>
    <xf numFmtId="0" fontId="2" fillId="0" borderId="0" xfId="4" applyAlignment="1" applyProtection="1">
      <alignment horizontal="center" vertical="center"/>
      <protection locked="0"/>
    </xf>
    <xf numFmtId="0" fontId="2" fillId="2" borderId="0" xfId="4" applyFill="1" applyAlignment="1" applyProtection="1">
      <alignment horizontal="center"/>
      <protection locked="0"/>
    </xf>
    <xf numFmtId="1" fontId="2" fillId="2" borderId="0" xfId="4" applyNumberFormat="1" applyFill="1" applyProtection="1">
      <protection locked="0"/>
    </xf>
    <xf numFmtId="0" fontId="2" fillId="0" borderId="0" xfId="5" applyProtection="1">
      <protection locked="0"/>
    </xf>
    <xf numFmtId="0" fontId="3" fillId="0" borderId="0" xfId="5" applyFont="1" applyAlignment="1" applyProtection="1">
      <alignment horizontal="left" vertical="center"/>
      <protection locked="0"/>
    </xf>
    <xf numFmtId="0" fontId="3" fillId="0" borderId="0" xfId="5" applyFont="1" applyAlignment="1" applyProtection="1">
      <alignment horizontal="left" vertical="center" wrapText="1"/>
      <protection locked="0"/>
    </xf>
    <xf numFmtId="0" fontId="3" fillId="0" borderId="0" xfId="5" applyFont="1" applyAlignment="1" applyProtection="1">
      <alignment vertical="center"/>
      <protection locked="0"/>
    </xf>
    <xf numFmtId="5" fontId="3" fillId="0" borderId="0" xfId="5" applyNumberFormat="1" applyFont="1" applyAlignment="1" applyProtection="1">
      <alignment horizontal="right" vertical="center"/>
      <protection locked="0"/>
    </xf>
    <xf numFmtId="0" fontId="3" fillId="0" borderId="0" xfId="5" applyFont="1" applyAlignment="1" applyProtection="1">
      <alignment horizontal="left"/>
      <protection locked="0"/>
    </xf>
    <xf numFmtId="0" fontId="3" fillId="0" borderId="0" xfId="5" applyFont="1" applyAlignment="1" applyProtection="1">
      <alignment horizontal="left" wrapText="1"/>
      <protection locked="0"/>
    </xf>
    <xf numFmtId="0" fontId="8" fillId="0" borderId="0" xfId="5" applyFont="1" applyAlignment="1" applyProtection="1">
      <alignment horizontal="right"/>
      <protection locked="0"/>
    </xf>
    <xf numFmtId="5" fontId="3" fillId="0" borderId="0" xfId="5" applyNumberFormat="1" applyFont="1" applyAlignment="1" applyProtection="1">
      <alignment horizontal="right"/>
      <protection locked="0"/>
    </xf>
    <xf numFmtId="0" fontId="2" fillId="0" borderId="0" xfId="5" applyAlignment="1" applyProtection="1">
      <alignment horizontal="left" wrapText="1"/>
      <protection locked="0"/>
    </xf>
    <xf numFmtId="0" fontId="12" fillId="0" borderId="0" xfId="4" applyFont="1" applyAlignment="1" applyProtection="1">
      <alignment horizontal="left" wrapText="1"/>
      <protection locked="0"/>
    </xf>
    <xf numFmtId="0" fontId="2" fillId="0" borderId="0" xfId="5" applyAlignment="1" applyProtection="1">
      <alignment horizontal="center"/>
      <protection locked="0"/>
    </xf>
    <xf numFmtId="0" fontId="2" fillId="0" borderId="0" xfId="5" applyAlignment="1" applyProtection="1">
      <alignment horizontal="left"/>
      <protection locked="0"/>
    </xf>
    <xf numFmtId="5" fontId="13" fillId="0" borderId="0" xfId="5" applyNumberFormat="1" applyFont="1" applyAlignment="1" applyProtection="1">
      <alignment horizontal="right"/>
      <protection locked="0"/>
    </xf>
    <xf numFmtId="0" fontId="2" fillId="0" borderId="0" xfId="5" applyAlignment="1" applyProtection="1">
      <alignment horizontal="center" wrapText="1"/>
      <protection locked="0"/>
    </xf>
    <xf numFmtId="0" fontId="4" fillId="2" borderId="0" xfId="5" applyFont="1" applyFill="1" applyAlignment="1" applyProtection="1">
      <alignment horizontal="left"/>
      <protection locked="0"/>
    </xf>
    <xf numFmtId="164" fontId="4" fillId="2" borderId="0" xfId="5" applyNumberFormat="1" applyFont="1" applyFill="1" applyAlignment="1" applyProtection="1">
      <alignment horizontal="left" wrapText="1"/>
      <protection locked="0"/>
    </xf>
    <xf numFmtId="0" fontId="2" fillId="2" borderId="0" xfId="5" applyFill="1" applyAlignment="1" applyProtection="1">
      <alignment horizontal="left" wrapText="1"/>
      <protection locked="0"/>
    </xf>
    <xf numFmtId="0" fontId="2" fillId="2" borderId="0" xfId="5" applyFill="1" applyAlignment="1" applyProtection="1">
      <alignment horizontal="center"/>
      <protection locked="0"/>
    </xf>
    <xf numFmtId="0" fontId="2" fillId="2" borderId="0" xfId="5" applyFill="1" applyAlignment="1" applyProtection="1">
      <alignment horizontal="left"/>
      <protection locked="0"/>
    </xf>
    <xf numFmtId="0" fontId="2" fillId="2" borderId="0" xfId="5" applyFill="1" applyProtection="1">
      <protection locked="0"/>
    </xf>
    <xf numFmtId="5" fontId="2" fillId="2" borderId="0" xfId="5" applyNumberFormat="1" applyFill="1" applyAlignment="1" applyProtection="1">
      <alignment horizontal="right"/>
      <protection locked="0"/>
    </xf>
    <xf numFmtId="0" fontId="3" fillId="0" borderId="0" xfId="4" applyFont="1" applyAlignment="1" applyProtection="1">
      <alignment vertical="center" wrapText="1"/>
      <protection locked="0"/>
    </xf>
    <xf numFmtId="0" fontId="3" fillId="0" borderId="0" xfId="4" applyFont="1" applyProtection="1">
      <protection locked="0"/>
    </xf>
    <xf numFmtId="0" fontId="3" fillId="0" borderId="0" xfId="4" applyFont="1" applyAlignment="1" applyProtection="1">
      <alignment wrapText="1"/>
      <protection locked="0"/>
    </xf>
    <xf numFmtId="0" fontId="14" fillId="0" borderId="0" xfId="4" applyFont="1" applyAlignment="1" applyProtection="1">
      <alignment horizontal="left"/>
      <protection locked="0"/>
    </xf>
    <xf numFmtId="0" fontId="14" fillId="0" borderId="0" xfId="4" applyFont="1" applyAlignment="1" applyProtection="1">
      <alignment wrapText="1"/>
      <protection locked="0"/>
    </xf>
    <xf numFmtId="0" fontId="2" fillId="2" borderId="0" xfId="4" applyFill="1" applyAlignment="1" applyProtection="1">
      <alignment horizontal="left" vertical="center"/>
      <protection locked="0"/>
    </xf>
    <xf numFmtId="0" fontId="2" fillId="2" borderId="0" xfId="4" applyFill="1" applyAlignment="1" applyProtection="1">
      <alignment vertical="center"/>
      <protection locked="0"/>
    </xf>
    <xf numFmtId="49" fontId="10" fillId="3" borderId="2" xfId="4" applyNumberFormat="1" applyFont="1" applyFill="1" applyBorder="1" applyAlignment="1" applyProtection="1">
      <alignment horizontal="center" vertical="center" wrapText="1"/>
      <protection locked="0"/>
    </xf>
    <xf numFmtId="165" fontId="10" fillId="3" borderId="2" xfId="3" applyNumberFormat="1" applyFont="1" applyFill="1" applyBorder="1" applyAlignment="1" applyProtection="1">
      <alignment horizontal="center" vertical="center" wrapText="1"/>
      <protection locked="0"/>
    </xf>
    <xf numFmtId="0" fontId="4" fillId="0" borderId="0" xfId="4" applyFont="1" applyFill="1" applyAlignment="1" applyProtection="1">
      <alignment horizontal="center" wrapText="1"/>
      <protection locked="0"/>
    </xf>
    <xf numFmtId="0" fontId="4" fillId="0" borderId="0" xfId="4" applyFont="1" applyFill="1" applyAlignment="1" applyProtection="1">
      <alignment horizontal="left" wrapText="1"/>
      <protection locked="0"/>
    </xf>
    <xf numFmtId="0" fontId="2" fillId="0" borderId="0" xfId="4" applyFill="1" applyAlignment="1" applyProtection="1">
      <alignment horizontal="left" wrapText="1"/>
      <protection locked="0"/>
    </xf>
    <xf numFmtId="0" fontId="2" fillId="0" borderId="0" xfId="4" applyFill="1" applyAlignment="1" applyProtection="1">
      <alignment horizontal="center" wrapText="1"/>
      <protection locked="0"/>
    </xf>
    <xf numFmtId="0" fontId="2" fillId="0" borderId="0" xfId="4" applyFill="1" applyAlignment="1" applyProtection="1">
      <alignment wrapText="1"/>
      <protection locked="0"/>
    </xf>
    <xf numFmtId="0" fontId="2" fillId="0" borderId="0" xfId="10"/>
    <xf numFmtId="0" fontId="15" fillId="0" borderId="0" xfId="10" applyFont="1"/>
    <xf numFmtId="0" fontId="16" fillId="4" borderId="2" xfId="5" applyFont="1" applyFill="1" applyBorder="1" applyAlignment="1">
      <alignment horizontal="center" vertical="center" wrapText="1"/>
    </xf>
    <xf numFmtId="0" fontId="8" fillId="0" borderId="0" xfId="10" applyFont="1" applyAlignment="1">
      <alignment horizontal="center"/>
    </xf>
    <xf numFmtId="0" fontId="2" fillId="0" borderId="2" xfId="10" applyBorder="1"/>
    <xf numFmtId="5" fontId="2" fillId="0" borderId="2" xfId="10" applyNumberFormat="1" applyBorder="1"/>
    <xf numFmtId="166" fontId="2" fillId="0" borderId="0" xfId="1" applyNumberFormat="1" applyFont="1"/>
    <xf numFmtId="5" fontId="2" fillId="0" borderId="0" xfId="10" applyNumberFormat="1"/>
    <xf numFmtId="5" fontId="16" fillId="5" borderId="2" xfId="5" applyNumberFormat="1" applyFont="1" applyFill="1" applyBorder="1"/>
    <xf numFmtId="5" fontId="16" fillId="5" borderId="2" xfId="5" applyNumberFormat="1" applyFont="1" applyFill="1" applyBorder="1" applyAlignment="1">
      <alignment horizontal="right"/>
    </xf>
    <xf numFmtId="0" fontId="2" fillId="0" borderId="2" xfId="5" applyBorder="1" applyAlignment="1">
      <alignment horizontal="left" vertical="center" wrapText="1"/>
    </xf>
    <xf numFmtId="0" fontId="16" fillId="4" borderId="2" xfId="5" applyFont="1" applyFill="1" applyBorder="1" applyAlignment="1">
      <alignment horizontal="left" vertical="center" wrapText="1"/>
    </xf>
    <xf numFmtId="43" fontId="2" fillId="2" borderId="0" xfId="1" applyFont="1" applyFill="1" applyAlignment="1" applyProtection="1">
      <alignment horizontal="center" vertical="center"/>
      <protection locked="0"/>
    </xf>
    <xf numFmtId="166" fontId="2" fillId="0" borderId="0" xfId="10" applyNumberFormat="1"/>
    <xf numFmtId="0" fontId="9" fillId="0" borderId="2" xfId="0" applyFont="1" applyFill="1" applyBorder="1" applyAlignment="1">
      <alignment horizontal="left" vertical="center" wrapText="1"/>
    </xf>
    <xf numFmtId="0" fontId="2" fillId="0" borderId="0" xfId="4" applyFill="1" applyProtection="1">
      <protection locked="0"/>
    </xf>
    <xf numFmtId="5" fontId="8" fillId="0" borderId="1" xfId="4" applyNumberFormat="1" applyFont="1" applyFill="1" applyBorder="1" applyAlignment="1" applyProtection="1">
      <alignment horizontal="center" vertical="center" wrapText="1"/>
      <protection locked="0"/>
    </xf>
    <xf numFmtId="0" fontId="2" fillId="0" borderId="0" xfId="4" applyFill="1" applyAlignment="1" applyProtection="1">
      <alignment horizontal="center"/>
      <protection locked="0"/>
    </xf>
    <xf numFmtId="0" fontId="4" fillId="0" borderId="0" xfId="4" applyFont="1" applyFill="1" applyAlignment="1" applyProtection="1">
      <alignment horizontal="center"/>
      <protection locked="0"/>
    </xf>
    <xf numFmtId="0" fontId="4" fillId="0" borderId="0" xfId="4" applyFont="1" applyFill="1" applyAlignment="1" applyProtection="1">
      <alignment horizontal="left"/>
      <protection locked="0"/>
    </xf>
    <xf numFmtId="0" fontId="2" fillId="0" borderId="0" xfId="4" applyFill="1" applyAlignment="1" applyProtection="1">
      <alignment horizontal="center" vertical="center"/>
      <protection locked="0"/>
    </xf>
    <xf numFmtId="5" fontId="2" fillId="0" borderId="0" xfId="4" applyNumberFormat="1" applyFill="1" applyAlignment="1" applyProtection="1">
      <alignment horizontal="center"/>
      <protection locked="0"/>
    </xf>
    <xf numFmtId="43" fontId="2" fillId="2" borderId="0" xfId="4" applyNumberFormat="1" applyFill="1" applyAlignment="1" applyProtection="1">
      <alignment horizontal="center" vertical="center"/>
      <protection locked="0"/>
    </xf>
    <xf numFmtId="0" fontId="2" fillId="6" borderId="0" xfId="11" applyFill="1" applyAlignment="1">
      <alignment horizontal="center"/>
    </xf>
    <xf numFmtId="0" fontId="2" fillId="6" borderId="0" xfId="11" applyFill="1"/>
    <xf numFmtId="3" fontId="2" fillId="6" borderId="0" xfId="11" applyNumberFormat="1" applyFill="1" applyAlignment="1">
      <alignment horizontal="center"/>
    </xf>
    <xf numFmtId="167" fontId="2" fillId="6" borderId="0" xfId="11" applyNumberFormat="1" applyFill="1" applyAlignment="1">
      <alignment horizontal="center"/>
    </xf>
    <xf numFmtId="0" fontId="8" fillId="6" borderId="0" xfId="11" applyFont="1" applyFill="1" applyAlignment="1">
      <alignment horizontal="right"/>
    </xf>
    <xf numFmtId="3" fontId="2" fillId="6" borderId="0" xfId="11" quotePrefix="1" applyNumberFormat="1" applyFill="1" applyAlignment="1">
      <alignment horizontal="center"/>
    </xf>
    <xf numFmtId="0" fontId="8" fillId="6" borderId="0" xfId="11" applyFont="1" applyFill="1" applyAlignment="1">
      <alignment horizontal="center"/>
    </xf>
    <xf numFmtId="0" fontId="8" fillId="6" borderId="8" xfId="11" applyFont="1" applyFill="1" applyBorder="1" applyAlignment="1">
      <alignment horizontal="center" vertical="center" wrapText="1"/>
    </xf>
    <xf numFmtId="0" fontId="8" fillId="6" borderId="9" xfId="11" applyFont="1" applyFill="1" applyBorder="1" applyAlignment="1">
      <alignment horizontal="center" vertical="center" wrapText="1"/>
    </xf>
    <xf numFmtId="0" fontId="8" fillId="6" borderId="10" xfId="11" applyFont="1" applyFill="1" applyBorder="1" applyAlignment="1">
      <alignment horizontal="center" vertical="center" wrapText="1"/>
    </xf>
    <xf numFmtId="0" fontId="8" fillId="6" borderId="11" xfId="11" applyFont="1" applyFill="1" applyBorder="1" applyAlignment="1">
      <alignment horizontal="center" vertical="center" wrapText="1"/>
    </xf>
    <xf numFmtId="3" fontId="8" fillId="6" borderId="8" xfId="11" applyNumberFormat="1" applyFont="1" applyFill="1" applyBorder="1" applyAlignment="1">
      <alignment horizontal="center" vertical="center" wrapText="1"/>
    </xf>
    <xf numFmtId="3" fontId="8" fillId="6" borderId="10" xfId="11" applyNumberFormat="1" applyFont="1" applyFill="1" applyBorder="1" applyAlignment="1">
      <alignment horizontal="center" vertical="center" wrapText="1"/>
    </xf>
    <xf numFmtId="167" fontId="8" fillId="6" borderId="12" xfId="11" applyNumberFormat="1" applyFont="1" applyFill="1" applyBorder="1" applyAlignment="1">
      <alignment horizontal="center" vertical="center" wrapText="1"/>
    </xf>
    <xf numFmtId="3" fontId="8" fillId="6" borderId="13" xfId="11" applyNumberFormat="1" applyFont="1" applyFill="1" applyBorder="1" applyAlignment="1">
      <alignment horizontal="center" vertical="center" wrapText="1"/>
    </xf>
    <xf numFmtId="3" fontId="8" fillId="6" borderId="11" xfId="11" applyNumberFormat="1" applyFont="1" applyFill="1" applyBorder="1" applyAlignment="1">
      <alignment horizontal="center" vertical="center" wrapText="1"/>
    </xf>
    <xf numFmtId="3" fontId="8" fillId="6" borderId="12" xfId="11" applyNumberFormat="1" applyFont="1" applyFill="1" applyBorder="1" applyAlignment="1">
      <alignment horizontal="center" vertical="center" wrapText="1"/>
    </xf>
    <xf numFmtId="167" fontId="8" fillId="6" borderId="15" xfId="11" applyNumberFormat="1" applyFont="1" applyFill="1" applyBorder="1" applyAlignment="1">
      <alignment vertical="center" wrapText="1"/>
    </xf>
    <xf numFmtId="3" fontId="8" fillId="6" borderId="16" xfId="11" applyNumberFormat="1" applyFont="1" applyFill="1" applyBorder="1" applyAlignment="1">
      <alignment horizontal="center" vertical="center" wrapText="1"/>
    </xf>
    <xf numFmtId="0" fontId="18" fillId="6" borderId="0" xfId="11" applyFont="1" applyFill="1" applyAlignment="1">
      <alignment horizontal="center" vertical="center" wrapText="1"/>
    </xf>
    <xf numFmtId="0" fontId="8" fillId="6" borderId="3" xfId="11" applyFont="1" applyFill="1" applyBorder="1" applyAlignment="1">
      <alignment horizontal="center" vertical="center" wrapText="1"/>
    </xf>
    <xf numFmtId="0" fontId="8" fillId="6" borderId="4" xfId="11" applyFont="1" applyFill="1" applyBorder="1" applyAlignment="1">
      <alignment horizontal="center" vertical="center" wrapText="1"/>
    </xf>
    <xf numFmtId="0" fontId="8" fillId="6" borderId="5" xfId="11" applyFont="1" applyFill="1" applyBorder="1" applyAlignment="1">
      <alignment horizontal="center" vertical="center" wrapText="1"/>
    </xf>
    <xf numFmtId="3" fontId="8" fillId="6" borderId="3" xfId="11" applyNumberFormat="1" applyFont="1" applyFill="1" applyBorder="1" applyAlignment="1">
      <alignment horizontal="center" vertical="center" wrapText="1"/>
    </xf>
    <xf numFmtId="3" fontId="8" fillId="6" borderId="4" xfId="11" applyNumberFormat="1" applyFont="1" applyFill="1" applyBorder="1" applyAlignment="1">
      <alignment horizontal="center" vertical="center" wrapText="1"/>
    </xf>
    <xf numFmtId="167" fontId="8" fillId="6" borderId="4" xfId="11" applyNumberFormat="1" applyFont="1" applyFill="1" applyBorder="1" applyAlignment="1">
      <alignment horizontal="center" vertical="center" wrapText="1"/>
    </xf>
    <xf numFmtId="3" fontId="8" fillId="6" borderId="5" xfId="11" applyNumberFormat="1" applyFont="1" applyFill="1" applyBorder="1" applyAlignment="1">
      <alignment horizontal="center" vertical="center" wrapText="1"/>
    </xf>
    <xf numFmtId="0" fontId="8" fillId="6" borderId="17" xfId="11" applyFont="1" applyFill="1" applyBorder="1" applyAlignment="1">
      <alignment horizontal="center" vertical="center" wrapText="1"/>
    </xf>
    <xf numFmtId="0" fontId="8" fillId="6" borderId="18" xfId="11" applyFont="1" applyFill="1" applyBorder="1" applyAlignment="1">
      <alignment horizontal="center" vertical="center" wrapText="1"/>
    </xf>
    <xf numFmtId="0" fontId="8" fillId="6" borderId="19" xfId="11" applyFont="1" applyFill="1" applyBorder="1" applyAlignment="1">
      <alignment horizontal="center" vertical="center" wrapText="1"/>
    </xf>
    <xf numFmtId="0" fontId="8" fillId="6" borderId="20" xfId="11" applyFont="1" applyFill="1" applyBorder="1" applyAlignment="1">
      <alignment horizontal="center" vertical="center" wrapText="1"/>
    </xf>
    <xf numFmtId="3" fontId="8" fillId="6" borderId="20" xfId="11" applyNumberFormat="1" applyFont="1" applyFill="1" applyBorder="1" applyAlignment="1">
      <alignment horizontal="center" vertical="center" wrapText="1"/>
    </xf>
    <xf numFmtId="0" fontId="2" fillId="6" borderId="6" xfId="11" applyFill="1" applyBorder="1" applyAlignment="1">
      <alignment horizontal="center" vertical="center"/>
    </xf>
    <xf numFmtId="0" fontId="2" fillId="6" borderId="2" xfId="11" applyFill="1" applyBorder="1" applyAlignment="1">
      <alignment horizontal="center" vertical="center"/>
    </xf>
    <xf numFmtId="0" fontId="2" fillId="6" borderId="2" xfId="11" applyFill="1" applyBorder="1" applyAlignment="1">
      <alignment horizontal="center"/>
    </xf>
    <xf numFmtId="0" fontId="2" fillId="6" borderId="21" xfId="11" applyFill="1" applyBorder="1" applyAlignment="1">
      <alignment horizontal="center"/>
    </xf>
    <xf numFmtId="166" fontId="2" fillId="6" borderId="6" xfId="12" applyNumberFormat="1" applyFont="1" applyFill="1" applyBorder="1" applyAlignment="1" applyProtection="1">
      <alignment horizontal="center" vertical="center"/>
    </xf>
    <xf numFmtId="166" fontId="2" fillId="6" borderId="2" xfId="12" applyNumberFormat="1" applyFont="1" applyFill="1" applyBorder="1" applyAlignment="1" applyProtection="1">
      <alignment horizontal="center" vertical="center"/>
    </xf>
    <xf numFmtId="166" fontId="2" fillId="6" borderId="22" xfId="12" applyNumberFormat="1" applyFont="1" applyFill="1" applyBorder="1" applyAlignment="1" applyProtection="1">
      <alignment horizontal="center" vertical="center"/>
    </xf>
    <xf numFmtId="0" fontId="2" fillId="6" borderId="7" xfId="11" applyFill="1" applyBorder="1" applyAlignment="1">
      <alignment horizontal="center" vertical="center"/>
    </xf>
    <xf numFmtId="0" fontId="2" fillId="6" borderId="7" xfId="10" applyFill="1" applyBorder="1" applyAlignment="1">
      <alignment horizontal="center" vertical="center"/>
    </xf>
    <xf numFmtId="0" fontId="2" fillId="6" borderId="23" xfId="11" applyFill="1" applyBorder="1" applyAlignment="1">
      <alignment horizontal="center" vertical="center"/>
    </xf>
    <xf numFmtId="0" fontId="2" fillId="6" borderId="24" xfId="11" applyFill="1" applyBorder="1" applyAlignment="1">
      <alignment horizontal="center" vertical="center"/>
    </xf>
    <xf numFmtId="0" fontId="2" fillId="6" borderId="24" xfId="11" applyFill="1" applyBorder="1" applyAlignment="1">
      <alignment horizontal="center"/>
    </xf>
    <xf numFmtId="0" fontId="2" fillId="6" borderId="25" xfId="11" applyFill="1" applyBorder="1" applyAlignment="1">
      <alignment horizontal="center"/>
    </xf>
    <xf numFmtId="166" fontId="2" fillId="6" borderId="23" xfId="12" applyNumberFormat="1" applyFont="1" applyFill="1" applyBorder="1" applyAlignment="1" applyProtection="1">
      <alignment horizontal="center" vertical="center"/>
    </xf>
    <xf numFmtId="166" fontId="2" fillId="6" borderId="24" xfId="12" applyNumberFormat="1" applyFont="1" applyFill="1" applyBorder="1" applyAlignment="1" applyProtection="1">
      <alignment horizontal="center" vertical="center"/>
    </xf>
    <xf numFmtId="49" fontId="2" fillId="6" borderId="2" xfId="11" applyNumberFormat="1" applyFill="1" applyBorder="1" applyAlignment="1">
      <alignment horizontal="center" vertical="center"/>
    </xf>
    <xf numFmtId="0" fontId="2" fillId="6" borderId="2" xfId="11" quotePrefix="1" applyFill="1" applyBorder="1" applyAlignment="1">
      <alignment horizontal="center" vertical="center"/>
    </xf>
    <xf numFmtId="0" fontId="2" fillId="6" borderId="27" xfId="11" applyFill="1" applyBorder="1" applyAlignment="1">
      <alignment horizontal="center" vertical="center"/>
    </xf>
    <xf numFmtId="0" fontId="2" fillId="6" borderId="28" xfId="11" quotePrefix="1" applyFill="1" applyBorder="1" applyAlignment="1">
      <alignment horizontal="center" vertical="center"/>
    </xf>
    <xf numFmtId="0" fontId="2" fillId="6" borderId="28" xfId="11" applyFill="1" applyBorder="1" applyAlignment="1">
      <alignment horizontal="center"/>
    </xf>
    <xf numFmtId="166" fontId="2" fillId="6" borderId="27" xfId="12" applyNumberFormat="1" applyFont="1" applyFill="1" applyBorder="1" applyAlignment="1" applyProtection="1">
      <alignment horizontal="center" vertical="center"/>
    </xf>
    <xf numFmtId="166" fontId="2" fillId="6" borderId="28" xfId="12" applyNumberFormat="1" applyFont="1" applyFill="1" applyBorder="1" applyAlignment="1" applyProtection="1">
      <alignment horizontal="center" vertical="center"/>
    </xf>
    <xf numFmtId="0" fontId="2" fillId="6" borderId="30" xfId="11" applyFill="1" applyBorder="1" applyAlignment="1">
      <alignment horizontal="center"/>
    </xf>
    <xf numFmtId="0" fontId="2" fillId="6" borderId="29" xfId="11" applyFill="1" applyBorder="1" applyAlignment="1">
      <alignment horizontal="center" vertical="center"/>
    </xf>
    <xf numFmtId="0" fontId="2" fillId="6" borderId="31" xfId="11" applyFill="1" applyBorder="1" applyAlignment="1">
      <alignment horizontal="center" vertical="center"/>
    </xf>
    <xf numFmtId="166" fontId="2" fillId="6" borderId="31" xfId="12" applyNumberFormat="1" applyFont="1" applyFill="1" applyBorder="1" applyAlignment="1" applyProtection="1">
      <alignment horizontal="center" vertical="center"/>
    </xf>
    <xf numFmtId="0" fontId="2" fillId="6" borderId="28" xfId="11" applyFill="1" applyBorder="1" applyAlignment="1">
      <alignment horizontal="center" vertical="center"/>
    </xf>
    <xf numFmtId="0" fontId="2" fillId="6" borderId="32" xfId="11" applyFill="1" applyBorder="1" applyAlignment="1">
      <alignment horizontal="center" vertical="center"/>
    </xf>
    <xf numFmtId="3" fontId="2" fillId="0" borderId="0" xfId="11" applyNumberFormat="1" applyAlignment="1">
      <alignment horizontal="center"/>
    </xf>
    <xf numFmtId="0" fontId="18" fillId="6" borderId="0" xfId="11" applyFont="1" applyFill="1"/>
    <xf numFmtId="0" fontId="8" fillId="6" borderId="0" xfId="11" applyFont="1" applyFill="1"/>
    <xf numFmtId="0" fontId="8" fillId="6" borderId="13" xfId="11" applyFont="1" applyFill="1" applyBorder="1" applyAlignment="1">
      <alignment horizontal="center"/>
    </xf>
    <xf numFmtId="37" fontId="8" fillId="6" borderId="8" xfId="12" applyNumberFormat="1" applyFont="1" applyFill="1" applyBorder="1" applyAlignment="1">
      <alignment horizontal="center"/>
    </xf>
    <xf numFmtId="0" fontId="8" fillId="0" borderId="0" xfId="11" applyFont="1"/>
    <xf numFmtId="0" fontId="8" fillId="6" borderId="34" xfId="11" applyFont="1" applyFill="1" applyBorder="1" applyAlignment="1">
      <alignment horizontal="center" wrapText="1"/>
    </xf>
    <xf numFmtId="166" fontId="8" fillId="0" borderId="8" xfId="12" applyNumberFormat="1" applyFont="1" applyFill="1" applyBorder="1" applyAlignment="1">
      <alignment horizontal="center"/>
    </xf>
    <xf numFmtId="166" fontId="8" fillId="0" borderId="10" xfId="12" applyNumberFormat="1" applyFont="1" applyFill="1" applyBorder="1" applyAlignment="1">
      <alignment horizontal="center"/>
    </xf>
    <xf numFmtId="0" fontId="8" fillId="0" borderId="10" xfId="13" applyNumberFormat="1" applyFont="1" applyFill="1" applyBorder="1" applyAlignment="1">
      <alignment horizontal="right"/>
    </xf>
    <xf numFmtId="43" fontId="9" fillId="6" borderId="0" xfId="12" applyFont="1" applyFill="1" applyAlignment="1">
      <alignment horizontal="center"/>
    </xf>
    <xf numFmtId="165" fontId="2" fillId="6" borderId="0" xfId="11" applyNumberFormat="1" applyFill="1"/>
    <xf numFmtId="0" fontId="14" fillId="6" borderId="0" xfId="11" applyFont="1" applyFill="1" applyAlignment="1">
      <alignment horizontal="left"/>
    </xf>
    <xf numFmtId="44" fontId="2" fillId="6" borderId="0" xfId="13" applyFont="1" applyFill="1" applyAlignment="1">
      <alignment horizontal="center"/>
    </xf>
    <xf numFmtId="0" fontId="14" fillId="6" borderId="0" xfId="11" applyFont="1" applyFill="1" applyAlignment="1">
      <alignment horizontal="left" indent="2"/>
    </xf>
    <xf numFmtId="0" fontId="0" fillId="0" borderId="2" xfId="0" applyFill="1" applyBorder="1" applyAlignment="1">
      <alignment horizontal="left" vertical="center" wrapText="1"/>
    </xf>
    <xf numFmtId="0" fontId="2" fillId="2" borderId="0" xfId="5" applyFont="1" applyFill="1" applyProtection="1">
      <protection locked="0"/>
    </xf>
    <xf numFmtId="49" fontId="0" fillId="0" borderId="2" xfId="0" applyNumberFormat="1" applyFill="1" applyBorder="1" applyAlignment="1">
      <alignment horizontal="left" vertical="center" wrapText="1"/>
    </xf>
    <xf numFmtId="0" fontId="9" fillId="0" borderId="2" xfId="0" applyFont="1" applyFill="1" applyBorder="1" applyAlignment="1">
      <alignment horizontal="center" vertical="center" wrapText="1"/>
    </xf>
    <xf numFmtId="49" fontId="0" fillId="0" borderId="2" xfId="0" quotePrefix="1" applyNumberFormat="1" applyFill="1" applyBorder="1" applyAlignment="1">
      <alignment horizontal="left" vertical="center" wrapText="1"/>
    </xf>
    <xf numFmtId="0" fontId="0" fillId="0" borderId="2" xfId="0" quotePrefix="1" applyFill="1" applyBorder="1" applyAlignment="1">
      <alignment horizontal="left" vertical="center" wrapText="1"/>
    </xf>
    <xf numFmtId="44" fontId="2" fillId="0" borderId="0" xfId="2" applyFont="1"/>
    <xf numFmtId="9" fontId="2" fillId="2" borderId="0" xfId="14" applyFont="1" applyFill="1" applyAlignment="1" applyProtection="1">
      <alignment horizontal="right"/>
      <protection locked="0"/>
    </xf>
    <xf numFmtId="167" fontId="2" fillId="0" borderId="0" xfId="11" applyNumberFormat="1" applyAlignment="1">
      <alignment horizontal="center"/>
    </xf>
    <xf numFmtId="167" fontId="2" fillId="0" borderId="33" xfId="11" applyNumberFormat="1" applyBorder="1" applyAlignment="1">
      <alignment horizontal="center"/>
    </xf>
    <xf numFmtId="0" fontId="2" fillId="0" borderId="0" xfId="11"/>
    <xf numFmtId="165" fontId="8" fillId="0" borderId="10" xfId="2" applyNumberFormat="1" applyFont="1" applyFill="1" applyBorder="1" applyAlignment="1">
      <alignment horizontal="center"/>
    </xf>
    <xf numFmtId="0" fontId="2" fillId="0" borderId="0" xfId="10" applyBorder="1"/>
    <xf numFmtId="0" fontId="2" fillId="0" borderId="0" xfId="5" applyBorder="1" applyAlignment="1">
      <alignment horizontal="left" vertical="center" wrapText="1"/>
    </xf>
    <xf numFmtId="44" fontId="2" fillId="0" borderId="0" xfId="2" applyFont="1" applyBorder="1"/>
    <xf numFmtId="165" fontId="9" fillId="7" borderId="2" xfId="3" applyNumberFormat="1" applyFont="1" applyFill="1" applyBorder="1" applyAlignment="1">
      <alignment horizontal="center" vertical="center" wrapText="1"/>
    </xf>
    <xf numFmtId="165" fontId="9" fillId="7" borderId="2" xfId="2" applyNumberFormat="1" applyFont="1" applyFill="1" applyBorder="1" applyAlignment="1">
      <alignment horizontal="center" vertical="center" wrapText="1"/>
    </xf>
    <xf numFmtId="165" fontId="2" fillId="7" borderId="7" xfId="13" applyNumberFormat="1" applyFont="1" applyFill="1" applyBorder="1" applyAlignment="1" applyProtection="1">
      <alignment horizontal="center" vertical="center" wrapText="1"/>
    </xf>
    <xf numFmtId="165" fontId="2" fillId="7" borderId="26" xfId="13" applyNumberFormat="1" applyFont="1" applyFill="1" applyBorder="1" applyAlignment="1" applyProtection="1">
      <alignment horizontal="center" vertical="center" wrapText="1"/>
    </xf>
    <xf numFmtId="165" fontId="2" fillId="7" borderId="29" xfId="13" applyNumberFormat="1" applyFont="1" applyFill="1" applyBorder="1" applyAlignment="1" applyProtection="1">
      <alignment horizontal="center" vertical="center" wrapText="1"/>
    </xf>
    <xf numFmtId="165" fontId="19" fillId="7" borderId="2" xfId="13" applyNumberFormat="1" applyFont="1" applyFill="1" applyBorder="1" applyAlignment="1" applyProtection="1">
      <alignment horizontal="center" vertical="center" wrapText="1"/>
    </xf>
    <xf numFmtId="165" fontId="19" fillId="7" borderId="24" xfId="13" applyNumberFormat="1" applyFont="1" applyFill="1" applyBorder="1" applyAlignment="1" applyProtection="1">
      <alignment horizontal="center" vertical="center" wrapText="1"/>
    </xf>
    <xf numFmtId="165" fontId="19" fillId="7" borderId="28" xfId="13" applyNumberFormat="1" applyFont="1" applyFill="1" applyBorder="1" applyAlignment="1" applyProtection="1">
      <alignment horizontal="center" vertical="center" wrapText="1"/>
    </xf>
    <xf numFmtId="44" fontId="2" fillId="7" borderId="22" xfId="13" applyFont="1" applyFill="1" applyBorder="1" applyAlignment="1" applyProtection="1">
      <alignment horizontal="center" vertical="center"/>
    </xf>
    <xf numFmtId="6" fontId="2" fillId="0" borderId="2" xfId="0" applyNumberFormat="1" applyFont="1" applyBorder="1"/>
    <xf numFmtId="0" fontId="3" fillId="0" borderId="0" xfId="4" applyFont="1" applyAlignment="1" applyProtection="1">
      <alignment horizontal="center"/>
      <protection locked="0"/>
    </xf>
    <xf numFmtId="0" fontId="17" fillId="6" borderId="0" xfId="11" applyFont="1" applyFill="1" applyAlignment="1">
      <alignment horizontal="center" vertical="center"/>
    </xf>
    <xf numFmtId="167" fontId="8" fillId="6" borderId="14" xfId="11" applyNumberFormat="1" applyFont="1" applyFill="1" applyBorder="1" applyAlignment="1">
      <alignment horizontal="center" vertical="center" wrapText="1"/>
    </xf>
    <xf numFmtId="0" fontId="3" fillId="0" borderId="0" xfId="5" applyFont="1" applyAlignment="1" applyProtection="1">
      <alignment horizontal="center"/>
      <protection locked="0"/>
    </xf>
    <xf numFmtId="0" fontId="3" fillId="0" borderId="0" xfId="10" applyFont="1" applyAlignment="1">
      <alignment horizontal="center"/>
    </xf>
    <xf numFmtId="0" fontId="3" fillId="0" borderId="0" xfId="4" applyFont="1" applyAlignment="1" applyProtection="1">
      <alignment horizontal="center"/>
      <protection locked="0"/>
    </xf>
    <xf numFmtId="0" fontId="3" fillId="0" borderId="0" xfId="4" applyFont="1" applyAlignment="1" applyProtection="1">
      <alignment horizontal="center" wrapText="1"/>
      <protection locked="0"/>
    </xf>
    <xf numFmtId="0" fontId="17" fillId="6" borderId="0" xfId="11" applyFont="1" applyFill="1" applyAlignment="1">
      <alignment horizontal="center" vertical="center"/>
    </xf>
    <xf numFmtId="167" fontId="8" fillId="6" borderId="13" xfId="11" applyNumberFormat="1" applyFont="1" applyFill="1" applyBorder="1" applyAlignment="1">
      <alignment horizontal="center" vertical="center" wrapText="1"/>
    </xf>
    <xf numFmtId="167" fontId="8" fillId="6" borderId="14" xfId="11" applyNumberFormat="1" applyFont="1" applyFill="1" applyBorder="1" applyAlignment="1">
      <alignment horizontal="center" vertical="center" wrapText="1"/>
    </xf>
    <xf numFmtId="0" fontId="3" fillId="0" borderId="0" xfId="5" applyFont="1" applyAlignment="1" applyProtection="1">
      <alignment horizontal="center"/>
      <protection locked="0"/>
    </xf>
    <xf numFmtId="0" fontId="22" fillId="0" borderId="0" xfId="0" applyFont="1" applyAlignment="1">
      <alignment vertical="center"/>
    </xf>
  </cellXfs>
  <cellStyles count="15">
    <cellStyle name="Comma" xfId="1" builtinId="3"/>
    <cellStyle name="Comma  - Style1 7" xfId="7" xr:uid="{07434B4C-72D2-40F8-A515-3AAF7CED05DF}"/>
    <cellStyle name="Comma 10 2 3" xfId="12" xr:uid="{4BCD03DF-41E6-4967-B53F-18ED24826CAA}"/>
    <cellStyle name="Currency" xfId="2" builtinId="4"/>
    <cellStyle name="Currency [0]" xfId="3" builtinId="7"/>
    <cellStyle name="Currency 10" xfId="13" xr:uid="{8CD554C9-253D-4C69-9192-D1BE9DEC01A6}"/>
    <cellStyle name="Currency 117" xfId="6" xr:uid="{EE89332D-F64F-439C-9BD4-E590471788FE}"/>
    <cellStyle name="Normal" xfId="0" builtinId="0"/>
    <cellStyle name="Normal - Style1 4" xfId="11" xr:uid="{ABAB9ADC-55DB-4320-8646-0CA38B296999}"/>
    <cellStyle name="Normal 10 2 2 2 3 2" xfId="5" xr:uid="{925DD7D5-29AC-4CBF-9E99-1DB86FE02BF5}"/>
    <cellStyle name="Normal 10 2 3 6" xfId="4" xr:uid="{333CE4BE-0761-45AC-BBB0-23C33A12F85B}"/>
    <cellStyle name="Normal 2" xfId="9" xr:uid="{75D15EC8-729A-4921-ABD5-34375ACE645A}"/>
    <cellStyle name="Normal 2 16" xfId="10" xr:uid="{4017F078-5844-48D1-A14E-8C3474470464}"/>
    <cellStyle name="Normal 302" xfId="8" xr:uid="{D5231E33-43E0-4196-9930-1A88E90833CA}"/>
    <cellStyle name="Percent" xfId="1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295275</xdr:colOff>
      <xdr:row>7</xdr:row>
      <xdr:rowOff>171450</xdr:rowOff>
    </xdr:from>
    <xdr:to>
      <xdr:col>4</xdr:col>
      <xdr:colOff>123825</xdr:colOff>
      <xdr:row>12</xdr:row>
      <xdr:rowOff>104775</xdr:rowOff>
    </xdr:to>
    <xdr:sp macro="" textlink="">
      <xdr:nvSpPr>
        <xdr:cNvPr id="1026" name="Rectangle 2">
          <a:extLst>
            <a:ext uri="{FF2B5EF4-FFF2-40B4-BE49-F238E27FC236}">
              <a16:creationId xmlns:a16="http://schemas.microsoft.com/office/drawing/2014/main" id="{3B1CEF63-D88D-4F9B-BB88-3F90C19E34FF}"/>
            </a:ext>
          </a:extLst>
        </xdr:cNvPr>
        <xdr:cNvSpPr>
          <a:spLocks noChangeArrowheads="1"/>
        </xdr:cNvSpPr>
      </xdr:nvSpPr>
      <xdr:spPr bwMode="auto">
        <a:xfrm>
          <a:off x="295275" y="1504950"/>
          <a:ext cx="2266950" cy="895350"/>
        </a:xfrm>
        <a:prstGeom prst="rect">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en-US" sz="1400" b="0" i="0" u="none" strike="noStrike" baseline="0">
              <a:solidFill>
                <a:srgbClr val="FF0000"/>
              </a:solidFill>
              <a:latin typeface="Times New Roman"/>
              <a:cs typeface="Times New Roman"/>
            </a:rPr>
            <a:t>FILED</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FF0000"/>
              </a:solidFill>
              <a:latin typeface="Times New Roman"/>
              <a:cs typeface="Times New Roman"/>
            </a:rPr>
            <a:t>September 10, 2021</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FF0000"/>
              </a:solidFill>
              <a:latin typeface="Times New Roman"/>
              <a:cs typeface="Times New Roman"/>
            </a:rPr>
            <a:t>INDIANA UTILITY </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FF0000"/>
              </a:solidFill>
              <a:latin typeface="Times New Roman"/>
              <a:cs typeface="Times New Roman"/>
            </a:rPr>
            <a:t>REGULATORY COMMISSION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genet\global\Users\lplummer\AppData\Local\Microsoft\Windows\Temporary%20Internet%20Files\Content.Outlook\CY2OO1XE\GAIM%202017%20Hyperion%20Trans%20cap%20budget%20-%20Jun%2017%202016%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prdshp13/Corporate/Accounting/PlantAccounting/BS-CI/VEDS-SIG/2014/March/SIG%20BS-CI%20-%200314%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genet\global\Corporate\Accounting\PlantAccounting\BS-CI\VEDS-SIG\2014\March\SIG%20BS-CI%20-%200314%20FIN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genet\Corporate\Accounting\PlantAccounting\BS-CI\VEDS-SIG\2014\March\SIG%20BS-CI%20-%200314%20FIN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igenet\global\EnergyDelivery\EAM\InvestmentMgmt\CSIA\TDSIC-5%202016%20Fall%20filing\D-Mod\D-Mod%20project%20plan%20updates%20for%20TDSIC-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igenet\EnergyDelivery\EAM\InvestmentMgmt\CSIA\TDSIC-5%202016%20Fall%20filing\D-Mod\D-Mod%20project%20plan%20updates%20for%20TDSIC-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plummer\AppData\Local\Microsoft\Windows\Temporary%20Internet%20Files\Content.Outlook\CY2OO1XE\GAIM%202017%20Hyperion%20Trans%20cap%20budget%20-%20Jun%2017%202016%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genet\Users\lplummer\AppData\Local\Microsoft\Windows\Temporary%20Internet%20Files\Content.Outlook\CY2OO1XE\GAIM%202017%20Hyperion%20Trans%20cap%20budget%20-%20Jun%2017%202016%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rdshp13/EnergyDelivery/EAM/GAM/2%20AIM/A%20TIMP/IM%20Process%20Documents/2%20GAIM%20Project%20Log/2015-2016%20Project%20Submittal%20to%20GTE%20(4-15-2014)/DO%20NOT%20EDIT%20-%202014-04-15%202-year%20Modernization%20Project%20Log-2015-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genet\EnergyDelivery\EAM\GAM\2%20AIM\A%20TIMP\IM%20Process%20Documents\2%20GAIM%20Project%20Log\2015-2016%20Project%20Submittal%20to%20GTE%20(4-15-2014)\DO%20NOT%20EDIT%20-%202014-04-15%202-year%20Modernization%20Project%20Log-2015-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rdshp13/GLOBAL/EnergyDelivery/EAM/InvestmentMgmt/CSIA/2015%20Fall%20filing/Fall%202014%20information/OUCC%20(Jul%2022%202014)/Transmission%202-year%20capital%20plan%20gas%20(Active%20New%20Project%20Log-With%20Ris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GENET\GLOBAL\EnergyDelivery\EAM\InvestmentMgmt\CSIA\2015%20Fall%20filing\Fall%202014%20information\OUCC%20(Jul%2022%202014)\Transmission%202-year%20capital%20plan%20gas%20(Active%20New%20Project%20Log-With%20Ris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rdshp13/Corporate/Accounting/PlantAccounting/BS-CI/VEDN-IGC/2012/Q4%202012/December/IGC%20BS-CI%20-%201212%20FINAL%20-%20Tie%20to%20P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igenet\Corporate\Accounting\PlantAccounting\BS-CI\VEDN-IGC\2012\Q4%202012\December\IGC%20BS-CI%20-%201212%20FINAL%20-%20Tie%20to%20P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Analysis for Estimate"/>
      <sheetName val="Project Log"/>
      <sheetName val="Sheet1"/>
      <sheetName val="Sheet3"/>
      <sheetName val="Sheet4"/>
      <sheetName val="Sheet5"/>
      <sheetName val="Sheet6"/>
      <sheetName val="O&amp;M Pivot Analysis"/>
      <sheetName val="Source Data"/>
      <sheetName val="IM Risk Score Per Pipeline"/>
      <sheetName val="IM System Name"/>
      <sheetName val="Directions"/>
      <sheetName val="Costs By Year"/>
      <sheetName val="ILI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1">
          <cell r="B21">
            <v>2013</v>
          </cell>
        </row>
        <row r="22">
          <cell r="B22">
            <v>2014</v>
          </cell>
        </row>
        <row r="23">
          <cell r="B23">
            <v>2015</v>
          </cell>
        </row>
        <row r="24">
          <cell r="B24">
            <v>2016</v>
          </cell>
        </row>
        <row r="25">
          <cell r="B25">
            <v>2017</v>
          </cell>
        </row>
        <row r="26">
          <cell r="B26">
            <v>2018</v>
          </cell>
        </row>
        <row r="27">
          <cell r="B27">
            <v>2019</v>
          </cell>
        </row>
        <row r="28">
          <cell r="B28">
            <v>2020</v>
          </cell>
        </row>
        <row r="29">
          <cell r="B29">
            <v>2021</v>
          </cell>
        </row>
        <row r="30">
          <cell r="B30">
            <v>2022</v>
          </cell>
        </row>
        <row r="31">
          <cell r="B31">
            <v>2023</v>
          </cell>
        </row>
        <row r="32">
          <cell r="B32">
            <v>2024</v>
          </cell>
        </row>
        <row r="33">
          <cell r="B33">
            <v>2025</v>
          </cell>
        </row>
        <row r="34">
          <cell r="B34">
            <v>2026</v>
          </cell>
        </row>
        <row r="35">
          <cell r="B35">
            <v>2027</v>
          </cell>
        </row>
        <row r="36">
          <cell r="B36">
            <v>2028</v>
          </cell>
        </row>
        <row r="37">
          <cell r="B37">
            <v>2029</v>
          </cell>
        </row>
        <row r="38">
          <cell r="B38">
            <v>2030</v>
          </cell>
        </row>
        <row r="39">
          <cell r="B39">
            <v>2031</v>
          </cell>
        </row>
        <row r="40">
          <cell r="B40">
            <v>2032</v>
          </cell>
        </row>
        <row r="41">
          <cell r="B41">
            <v>2033</v>
          </cell>
        </row>
        <row r="42">
          <cell r="B42">
            <v>2034</v>
          </cell>
        </row>
        <row r="43">
          <cell r="B43">
            <v>2035</v>
          </cell>
        </row>
        <row r="44">
          <cell r="B44" t="str">
            <v>Other</v>
          </cell>
        </row>
        <row r="520">
          <cell r="B520" t="str">
            <v>Bridge Crossings</v>
          </cell>
        </row>
        <row r="521">
          <cell r="B521" t="str">
            <v>Casings</v>
          </cell>
        </row>
        <row r="522">
          <cell r="B522" t="str">
            <v>Data Collection</v>
          </cell>
        </row>
        <row r="523">
          <cell r="B523" t="str">
            <v>Direct Assesment</v>
          </cell>
        </row>
        <row r="524">
          <cell r="B524" t="str">
            <v>Encroachments</v>
          </cell>
        </row>
        <row r="525">
          <cell r="B525" t="str">
            <v>Exposures</v>
          </cell>
        </row>
        <row r="526">
          <cell r="B526" t="str">
            <v>Gas Quality / Conditioning</v>
          </cell>
        </row>
        <row r="527">
          <cell r="B527" t="str">
            <v>ILI Assessments</v>
          </cell>
        </row>
        <row r="528">
          <cell r="B528" t="str">
            <v>ILI Retrofits</v>
          </cell>
        </row>
        <row r="529">
          <cell r="B529" t="str">
            <v>Ineffectively Coated Steel</v>
          </cell>
        </row>
        <row r="530">
          <cell r="B530" t="str">
            <v>Inside Meters</v>
          </cell>
        </row>
        <row r="531">
          <cell r="B531" t="str">
            <v>Miscellaneous</v>
          </cell>
        </row>
        <row r="532">
          <cell r="B532" t="str">
            <v>Non-Commerically Available Pipe Size</v>
          </cell>
        </row>
        <row r="533">
          <cell r="B533" t="str">
            <v>Obsolete Equipment</v>
          </cell>
        </row>
        <row r="534">
          <cell r="B534" t="str">
            <v>Odorizers</v>
          </cell>
        </row>
        <row r="535">
          <cell r="B535" t="str">
            <v>Pressure Monitoring / SCADA / RTU</v>
          </cell>
        </row>
        <row r="536">
          <cell r="B536" t="str">
            <v>Pressure Test</v>
          </cell>
        </row>
        <row r="537">
          <cell r="B537" t="str">
            <v>Priority Pipe</v>
          </cell>
        </row>
        <row r="538">
          <cell r="B538" t="str">
            <v>Regulator Station</v>
          </cell>
        </row>
        <row r="539">
          <cell r="B539" t="str">
            <v>Retirements</v>
          </cell>
        </row>
        <row r="540">
          <cell r="B540" t="str">
            <v>Shallow Pipe</v>
          </cell>
        </row>
        <row r="541">
          <cell r="B541" t="str">
            <v>Single Feed Systems</v>
          </cell>
        </row>
        <row r="542">
          <cell r="B542" t="str">
            <v>Station Rehabilitation</v>
          </cell>
        </row>
        <row r="543">
          <cell r="B543" t="str">
            <v>Uprate</v>
          </cell>
        </row>
        <row r="544">
          <cell r="B544" t="str">
            <v>Valves / Operators / Remote Cntrl</v>
          </cell>
        </row>
        <row r="545">
          <cell r="B545" t="str">
            <v>Vintage Plastic (Aldyl-A)</v>
          </cell>
        </row>
        <row r="548">
          <cell r="B548" t="str">
            <v>Transmission</v>
          </cell>
        </row>
        <row r="549">
          <cell r="B549" t="str">
            <v>Distribution</v>
          </cell>
        </row>
        <row r="552">
          <cell r="B552" t="str">
            <v>NE</v>
          </cell>
        </row>
        <row r="553">
          <cell r="B553" t="str">
            <v>NW</v>
          </cell>
        </row>
        <row r="554">
          <cell r="B554" t="str">
            <v>OH</v>
          </cell>
        </row>
        <row r="555">
          <cell r="B555" t="str">
            <v>SE</v>
          </cell>
        </row>
        <row r="556">
          <cell r="B556" t="str">
            <v>SW</v>
          </cell>
        </row>
        <row r="559">
          <cell r="B559" t="str">
            <v>NE/Anderson</v>
          </cell>
        </row>
        <row r="560">
          <cell r="B560" t="str">
            <v>NE/Greenfield</v>
          </cell>
        </row>
        <row r="561">
          <cell r="B561" t="str">
            <v>NE/Huntington</v>
          </cell>
        </row>
        <row r="562">
          <cell r="B562" t="str">
            <v>NE/Muncie</v>
          </cell>
        </row>
        <row r="563">
          <cell r="B563" t="str">
            <v>NE/New Castle</v>
          </cell>
        </row>
        <row r="564">
          <cell r="B564" t="str">
            <v>NE/Noblesville</v>
          </cell>
        </row>
        <row r="565">
          <cell r="B565" t="str">
            <v>NE/Richmond</v>
          </cell>
        </row>
        <row r="566">
          <cell r="B566" t="str">
            <v>NW/Attica</v>
          </cell>
        </row>
        <row r="567">
          <cell r="B567" t="str">
            <v>NW/Crawfordsville</v>
          </cell>
        </row>
        <row r="568">
          <cell r="B568" t="str">
            <v>NW/Danville</v>
          </cell>
        </row>
        <row r="569">
          <cell r="B569" t="str">
            <v>NW/Frankfort</v>
          </cell>
        </row>
        <row r="570">
          <cell r="B570" t="str">
            <v>NW/Greencastle</v>
          </cell>
        </row>
        <row r="571">
          <cell r="B571" t="str">
            <v>NW/Lafayette</v>
          </cell>
        </row>
        <row r="572">
          <cell r="B572" t="str">
            <v>NW/Lebanon</v>
          </cell>
        </row>
        <row r="573">
          <cell r="B573" t="str">
            <v>NW/Rockville</v>
          </cell>
        </row>
        <row r="574">
          <cell r="B574" t="str">
            <v>NW/Terre Haute</v>
          </cell>
        </row>
        <row r="575">
          <cell r="B575" t="str">
            <v>NW/Wolcott</v>
          </cell>
        </row>
        <row r="576">
          <cell r="B576" t="str">
            <v>SE/Bedford</v>
          </cell>
        </row>
        <row r="577">
          <cell r="B577" t="str">
            <v>SE/Bloomington</v>
          </cell>
        </row>
        <row r="578">
          <cell r="B578" t="str">
            <v>SE/Clarksville</v>
          </cell>
        </row>
        <row r="579">
          <cell r="B579" t="str">
            <v>SE/Columbus</v>
          </cell>
        </row>
        <row r="580">
          <cell r="B580" t="str">
            <v>SE/Franklin</v>
          </cell>
        </row>
        <row r="581">
          <cell r="B581" t="str">
            <v>SE/Greensburg</v>
          </cell>
        </row>
        <row r="582">
          <cell r="B582" t="str">
            <v>SE/Madison</v>
          </cell>
        </row>
        <row r="583">
          <cell r="B583" t="str">
            <v>SE/Martinsville</v>
          </cell>
        </row>
        <row r="584">
          <cell r="B584" t="str">
            <v>SE/Shelbyville</v>
          </cell>
        </row>
        <row r="585">
          <cell r="B585" t="str">
            <v>SW/Boonville</v>
          </cell>
        </row>
        <row r="586">
          <cell r="B586" t="str">
            <v>SW/Evansville</v>
          </cell>
        </row>
        <row r="587">
          <cell r="B587" t="str">
            <v>SW/Mt. Vernon</v>
          </cell>
        </row>
        <row r="588">
          <cell r="B588" t="str">
            <v>SW/Rockport</v>
          </cell>
        </row>
        <row r="589">
          <cell r="B589" t="str">
            <v>SW/Vincennes</v>
          </cell>
        </row>
        <row r="590">
          <cell r="B590" t="str">
            <v>OH/Centerville</v>
          </cell>
        </row>
        <row r="591">
          <cell r="B591" t="str">
            <v>OH/Dayton West</v>
          </cell>
        </row>
        <row r="592">
          <cell r="B592" t="str">
            <v>OH/Fairborn</v>
          </cell>
        </row>
        <row r="593">
          <cell r="B593" t="str">
            <v>OH/Troy</v>
          </cell>
        </row>
        <row r="594">
          <cell r="B594" t="str">
            <v>OH/Washington CH</v>
          </cell>
        </row>
        <row r="597">
          <cell r="B597" t="str">
            <v>SB 251</v>
          </cell>
        </row>
        <row r="598">
          <cell r="B598" t="str">
            <v>SB 560</v>
          </cell>
        </row>
        <row r="599">
          <cell r="B599" t="str">
            <v>SB 560 PI</v>
          </cell>
        </row>
        <row r="600">
          <cell r="B600" t="str">
            <v>SB 560 SI</v>
          </cell>
        </row>
        <row r="601">
          <cell r="B601" t="str">
            <v>SB 560 SR</v>
          </cell>
        </row>
        <row r="602">
          <cell r="B602" t="str">
            <v>SB 560 C</v>
          </cell>
        </row>
        <row r="603">
          <cell r="B603" t="str">
            <v>SB 560 LPS</v>
          </cell>
        </row>
        <row r="604">
          <cell r="B604" t="str">
            <v>PSA Tracker</v>
          </cell>
        </row>
        <row r="605">
          <cell r="B605" t="str">
            <v>Other</v>
          </cell>
        </row>
        <row r="608">
          <cell r="B608" t="str">
            <v>Yes</v>
          </cell>
        </row>
        <row r="609">
          <cell r="B609" t="str">
            <v>No</v>
          </cell>
        </row>
        <row r="612">
          <cell r="B612" t="str">
            <v>Budgeted</v>
          </cell>
        </row>
        <row r="613">
          <cell r="B613" t="str">
            <v>Scheduled</v>
          </cell>
        </row>
        <row r="614">
          <cell r="B614" t="str">
            <v>In Progress</v>
          </cell>
        </row>
        <row r="615">
          <cell r="B615" t="str">
            <v>Resolved</v>
          </cell>
        </row>
        <row r="616">
          <cell r="B616" t="str">
            <v>Completed</v>
          </cell>
        </row>
        <row r="617">
          <cell r="B617" t="str">
            <v>Rollover</v>
          </cell>
        </row>
        <row r="639">
          <cell r="B639" t="str">
            <v>External Corrosion</v>
          </cell>
          <cell r="C639">
            <v>5</v>
          </cell>
        </row>
        <row r="640">
          <cell r="B640" t="str">
            <v>Internal Corrosion</v>
          </cell>
          <cell r="C640">
            <v>5</v>
          </cell>
        </row>
        <row r="641">
          <cell r="B641" t="str">
            <v>Atmospheric Corrosion</v>
          </cell>
          <cell r="C641">
            <v>3</v>
          </cell>
        </row>
        <row r="642">
          <cell r="B642" t="str">
            <v>Indirect Corrosion</v>
          </cell>
          <cell r="C642">
            <v>2</v>
          </cell>
        </row>
        <row r="643">
          <cell r="B643" t="str">
            <v>Natural Forces</v>
          </cell>
          <cell r="C643">
            <v>5</v>
          </cell>
        </row>
        <row r="644">
          <cell r="B644" t="str">
            <v>Excavation Damage</v>
          </cell>
          <cell r="C644">
            <v>5</v>
          </cell>
        </row>
        <row r="645">
          <cell r="B645" t="str">
            <v>Other Outside Force</v>
          </cell>
          <cell r="C645">
            <v>5</v>
          </cell>
        </row>
        <row r="646">
          <cell r="B646" t="str">
            <v>Material Weld / Joint</v>
          </cell>
          <cell r="C646">
            <v>5</v>
          </cell>
        </row>
        <row r="647">
          <cell r="B647" t="str">
            <v>Equipment Malfunction</v>
          </cell>
          <cell r="C647">
            <v>3</v>
          </cell>
        </row>
        <row r="648">
          <cell r="B648" t="str">
            <v>Inappropriate Operation</v>
          </cell>
          <cell r="C648">
            <v>4</v>
          </cell>
        </row>
        <row r="649">
          <cell r="B649" t="str">
            <v>Sewer Transection</v>
          </cell>
          <cell r="C649">
            <v>4</v>
          </cell>
        </row>
        <row r="650">
          <cell r="B650" t="str">
            <v>Overbuilds / Encroachment</v>
          </cell>
          <cell r="C650">
            <v>3</v>
          </cell>
        </row>
        <row r="651">
          <cell r="B651" t="str">
            <v>Stress Corrosion cracking</v>
          </cell>
          <cell r="C651">
            <v>5</v>
          </cell>
        </row>
        <row r="652">
          <cell r="B652" t="str">
            <v>Seam / Weld / Fab / Girth Def</v>
          </cell>
          <cell r="C652">
            <v>5</v>
          </cell>
        </row>
        <row r="653">
          <cell r="B653" t="str">
            <v>Pipe Body defect</v>
          </cell>
          <cell r="C653">
            <v>3</v>
          </cell>
        </row>
        <row r="654">
          <cell r="B654" t="str">
            <v>Wrinkle Bend</v>
          </cell>
          <cell r="C654">
            <v>2</v>
          </cell>
        </row>
        <row r="655">
          <cell r="B655" t="str">
            <v>Broken thread or coupling</v>
          </cell>
          <cell r="C655">
            <v>1</v>
          </cell>
        </row>
        <row r="656">
          <cell r="B656" t="str">
            <v>Gasket or o-ring failure</v>
          </cell>
          <cell r="C656">
            <v>1</v>
          </cell>
        </row>
        <row r="657">
          <cell r="B657" t="str">
            <v>Pressure control equipment</v>
          </cell>
          <cell r="C657">
            <v>4</v>
          </cell>
        </row>
        <row r="658">
          <cell r="B658" t="str">
            <v>Seal or Packing failure</v>
          </cell>
          <cell r="C658">
            <v>1</v>
          </cell>
        </row>
        <row r="659">
          <cell r="B659" t="str">
            <v>Misc Equipment</v>
          </cell>
          <cell r="C659">
            <v>2</v>
          </cell>
        </row>
        <row r="660">
          <cell r="B660" t="str">
            <v>Risk of Damage</v>
          </cell>
          <cell r="C660">
            <v>3</v>
          </cell>
        </row>
        <row r="661">
          <cell r="B661" t="str">
            <v>Vandalism</v>
          </cell>
          <cell r="C661">
            <v>3</v>
          </cell>
        </row>
        <row r="662">
          <cell r="B662" t="str">
            <v>Incorrect operation</v>
          </cell>
          <cell r="C662">
            <v>3</v>
          </cell>
        </row>
        <row r="663">
          <cell r="B663" t="str">
            <v>Cold Weather</v>
          </cell>
          <cell r="C663">
            <v>1</v>
          </cell>
        </row>
        <row r="664">
          <cell r="B664" t="str">
            <v>Lightning</v>
          </cell>
          <cell r="C664">
            <v>1</v>
          </cell>
        </row>
        <row r="665">
          <cell r="B665" t="str">
            <v>Flooding or heavy rain</v>
          </cell>
          <cell r="C665">
            <v>3</v>
          </cell>
        </row>
        <row r="666">
          <cell r="B666" t="str">
            <v>Soil Movement</v>
          </cell>
          <cell r="C666">
            <v>1</v>
          </cell>
        </row>
        <row r="669">
          <cell r="B669" t="str">
            <v>Pipeline - Steel</v>
          </cell>
          <cell r="C669">
            <v>5</v>
          </cell>
        </row>
        <row r="670">
          <cell r="B670" t="str">
            <v>Pipeline - Plastic</v>
          </cell>
          <cell r="C670">
            <v>4</v>
          </cell>
        </row>
        <row r="671">
          <cell r="B671" t="str">
            <v>Pipeline - Cast Iron</v>
          </cell>
          <cell r="C671">
            <v>5</v>
          </cell>
        </row>
        <row r="672">
          <cell r="B672" t="str">
            <v>Valve</v>
          </cell>
          <cell r="C672">
            <v>3</v>
          </cell>
        </row>
        <row r="673">
          <cell r="B673" t="str">
            <v>Pipeline Heater</v>
          </cell>
          <cell r="C673">
            <v>3</v>
          </cell>
        </row>
        <row r="674">
          <cell r="B674" t="str">
            <v>Odorizer</v>
          </cell>
          <cell r="C674">
            <v>3</v>
          </cell>
        </row>
        <row r="675">
          <cell r="B675" t="str">
            <v>Filter</v>
          </cell>
          <cell r="C675">
            <v>2</v>
          </cell>
        </row>
        <row r="676">
          <cell r="B676" t="str">
            <v>Pressure Control</v>
          </cell>
          <cell r="C676">
            <v>4</v>
          </cell>
        </row>
        <row r="677">
          <cell r="B677" t="str">
            <v>Meter</v>
          </cell>
          <cell r="C677">
            <v>4</v>
          </cell>
        </row>
        <row r="678">
          <cell r="B678" t="str">
            <v>Service Line - Steel</v>
          </cell>
          <cell r="C678">
            <v>5</v>
          </cell>
        </row>
        <row r="679">
          <cell r="B679" t="str">
            <v>Service Line - Plastic</v>
          </cell>
          <cell r="C679">
            <v>4</v>
          </cell>
        </row>
        <row r="680">
          <cell r="B680" t="str">
            <v>Service Line - Other</v>
          </cell>
          <cell r="C680">
            <v>5</v>
          </cell>
        </row>
        <row r="681">
          <cell r="B681" t="str">
            <v>Gas Quality Equip</v>
          </cell>
          <cell r="C681">
            <v>2</v>
          </cell>
        </row>
        <row r="684">
          <cell r="B684" t="str">
            <v>Unknown</v>
          </cell>
          <cell r="C684">
            <v>3</v>
          </cell>
        </row>
        <row r="685">
          <cell r="B685" t="str">
            <v>2000-current</v>
          </cell>
          <cell r="C685">
            <v>1</v>
          </cell>
        </row>
        <row r="686">
          <cell r="B686" t="str">
            <v>1985 - 1999</v>
          </cell>
          <cell r="C686">
            <v>2</v>
          </cell>
        </row>
        <row r="687">
          <cell r="B687" t="str">
            <v>1971 - 1985</v>
          </cell>
          <cell r="C687">
            <v>4</v>
          </cell>
        </row>
        <row r="688">
          <cell r="B688" t="str">
            <v>1955 -1970</v>
          </cell>
          <cell r="C688">
            <v>4</v>
          </cell>
        </row>
        <row r="689">
          <cell r="B689" t="str">
            <v>Prior to 1955</v>
          </cell>
          <cell r="C689">
            <v>5</v>
          </cell>
        </row>
        <row r="690">
          <cell r="B690" t="str">
            <v>N/A</v>
          </cell>
          <cell r="C690">
            <v>3</v>
          </cell>
        </row>
        <row r="693">
          <cell r="B693" t="str">
            <v>Unknown</v>
          </cell>
          <cell r="C693">
            <v>5</v>
          </cell>
        </row>
        <row r="694">
          <cell r="B694" t="str">
            <v>HP Dist: &gt; 60 psig &amp; &lt;20%</v>
          </cell>
          <cell r="C694">
            <v>2</v>
          </cell>
        </row>
        <row r="695">
          <cell r="B695" t="str">
            <v>Distribution &lt;60psig</v>
          </cell>
          <cell r="C695">
            <v>1</v>
          </cell>
        </row>
        <row r="696">
          <cell r="B696" t="str">
            <v>Transmission: 20% - 30%</v>
          </cell>
          <cell r="C696">
            <v>3</v>
          </cell>
        </row>
        <row r="697">
          <cell r="B697" t="str">
            <v>Transmission: 30% - 50%</v>
          </cell>
          <cell r="C697">
            <v>4</v>
          </cell>
        </row>
        <row r="698">
          <cell r="B698" t="str">
            <v>Transmission: &gt; 50%</v>
          </cell>
          <cell r="C698">
            <v>5</v>
          </cell>
        </row>
        <row r="701">
          <cell r="B701" t="str">
            <v>Yes</v>
          </cell>
          <cell r="C701">
            <v>4</v>
          </cell>
        </row>
        <row r="702">
          <cell r="B702" t="str">
            <v>No</v>
          </cell>
          <cell r="C702">
            <v>1</v>
          </cell>
        </row>
        <row r="703">
          <cell r="B703" t="str">
            <v>N/A</v>
          </cell>
          <cell r="C703">
            <v>1</v>
          </cell>
        </row>
        <row r="706">
          <cell r="B706" t="str">
            <v>Residential</v>
          </cell>
          <cell r="C706">
            <v>4</v>
          </cell>
        </row>
        <row r="707">
          <cell r="B707" t="str">
            <v>Business District</v>
          </cell>
          <cell r="C707">
            <v>5</v>
          </cell>
        </row>
        <row r="708">
          <cell r="B708" t="str">
            <v>Rural</v>
          </cell>
          <cell r="C708">
            <v>2</v>
          </cell>
        </row>
        <row r="709">
          <cell r="B709" t="str">
            <v>Class 1  (1-10)</v>
          </cell>
          <cell r="C709">
            <v>1</v>
          </cell>
        </row>
        <row r="710">
          <cell r="B710" t="str">
            <v>Class 2 (11-46)</v>
          </cell>
          <cell r="C710">
            <v>2</v>
          </cell>
        </row>
        <row r="711">
          <cell r="B711" t="str">
            <v>Class 3 (&gt;  46)</v>
          </cell>
          <cell r="C711">
            <v>4</v>
          </cell>
        </row>
        <row r="712">
          <cell r="B712" t="str">
            <v>Class 4 (4+stories bldgs)</v>
          </cell>
          <cell r="C712">
            <v>5</v>
          </cell>
        </row>
        <row r="715">
          <cell r="B715" t="str">
            <v>&lt; 1yr</v>
          </cell>
          <cell r="C715">
            <v>5</v>
          </cell>
        </row>
        <row r="716">
          <cell r="B716" t="str">
            <v>&gt; 1 yr / &lt; 2 yr</v>
          </cell>
          <cell r="C716">
            <v>4</v>
          </cell>
        </row>
        <row r="717">
          <cell r="B717" t="str">
            <v>&gt; 2 yr / &lt; 3 yr</v>
          </cell>
          <cell r="C717">
            <v>3</v>
          </cell>
        </row>
        <row r="718">
          <cell r="B718" t="str">
            <v>&gt; 3 yr / &lt; 4 yr</v>
          </cell>
          <cell r="C718">
            <v>2</v>
          </cell>
        </row>
        <row r="719">
          <cell r="B719" t="str">
            <v>&gt; 4 yr / &lt; 5 yr</v>
          </cell>
          <cell r="C719">
            <v>1</v>
          </cell>
        </row>
        <row r="720">
          <cell r="B720" t="str">
            <v>N/A</v>
          </cell>
          <cell r="C720">
            <v>0</v>
          </cell>
        </row>
        <row r="723">
          <cell r="B723" t="str">
            <v>Ready to inspect</v>
          </cell>
          <cell r="C723">
            <v>1</v>
          </cell>
        </row>
        <row r="724">
          <cell r="B724" t="str">
            <v>Traps in place + Minor modifications needed</v>
          </cell>
          <cell r="C724">
            <v>2</v>
          </cell>
        </row>
        <row r="725">
          <cell r="B725" t="str">
            <v>Traps required + Minor modifications needed</v>
          </cell>
          <cell r="C725">
            <v>3</v>
          </cell>
        </row>
        <row r="726">
          <cell r="B726" t="str">
            <v>Traps required + Major modifications needed</v>
          </cell>
          <cell r="C726">
            <v>4</v>
          </cell>
        </row>
        <row r="727">
          <cell r="B727" t="str">
            <v>Not feasible for modification to all smart pigging</v>
          </cell>
          <cell r="C727">
            <v>5</v>
          </cell>
        </row>
        <row r="728">
          <cell r="B728" t="str">
            <v>N/A</v>
          </cell>
          <cell r="C728">
            <v>1</v>
          </cell>
        </row>
        <row r="731">
          <cell r="B731" t="str">
            <v>Wall/Wall Pavement</v>
          </cell>
          <cell r="C731">
            <v>5</v>
          </cell>
        </row>
        <row r="732">
          <cell r="B732" t="str">
            <v>Cased Crossing</v>
          </cell>
          <cell r="C732">
            <v>2</v>
          </cell>
        </row>
        <row r="733">
          <cell r="B733" t="str">
            <v>Non- Cased Crossing</v>
          </cell>
          <cell r="C733">
            <v>4</v>
          </cell>
        </row>
        <row r="734">
          <cell r="B734" t="str">
            <v>Extra Depth</v>
          </cell>
          <cell r="C734">
            <v>4</v>
          </cell>
        </row>
        <row r="735">
          <cell r="B735" t="str">
            <v>Water Crossing</v>
          </cell>
          <cell r="C735">
            <v>5</v>
          </cell>
        </row>
        <row r="736">
          <cell r="B736" t="str">
            <v>Farm / Native Soil</v>
          </cell>
          <cell r="C736">
            <v>2</v>
          </cell>
        </row>
        <row r="737">
          <cell r="B737" t="str">
            <v>Above-Ground</v>
          </cell>
          <cell r="C737">
            <v>2</v>
          </cell>
        </row>
        <row r="738">
          <cell r="B738" t="str">
            <v>Below-Ground - Pit / Vault</v>
          </cell>
          <cell r="C738">
            <v>3</v>
          </cell>
        </row>
        <row r="739">
          <cell r="B739" t="str">
            <v>Street / Public ROW</v>
          </cell>
          <cell r="C739">
            <v>4</v>
          </cell>
        </row>
        <row r="742">
          <cell r="B742" t="str">
            <v>Time Sensitive (Current Year)</v>
          </cell>
          <cell r="C742">
            <v>5</v>
          </cell>
        </row>
        <row r="743">
          <cell r="B743" t="str">
            <v>Time Sensitive (1-2 years)</v>
          </cell>
          <cell r="C743">
            <v>3</v>
          </cell>
        </row>
        <row r="744">
          <cell r="B744" t="str">
            <v>Time Sensitive (3-5 years)</v>
          </cell>
          <cell r="C744">
            <v>2</v>
          </cell>
        </row>
        <row r="745">
          <cell r="B745" t="str">
            <v>Operations &amp; Maintenance</v>
          </cell>
          <cell r="C745">
            <v>1</v>
          </cell>
        </row>
        <row r="746">
          <cell r="B746" t="str">
            <v xml:space="preserve">High Impact </v>
          </cell>
          <cell r="C746">
            <v>5</v>
          </cell>
        </row>
        <row r="749">
          <cell r="B749" t="str">
            <v>Local</v>
          </cell>
          <cell r="C749">
            <v>3</v>
          </cell>
        </row>
        <row r="750">
          <cell r="B750" t="str">
            <v>State Permit</v>
          </cell>
          <cell r="C750">
            <v>4</v>
          </cell>
        </row>
        <row r="751">
          <cell r="B751" t="str">
            <v>Federal Permit</v>
          </cell>
          <cell r="C751">
            <v>5</v>
          </cell>
        </row>
        <row r="752">
          <cell r="B752" t="str">
            <v>Environmental</v>
          </cell>
          <cell r="C752">
            <v>5</v>
          </cell>
        </row>
        <row r="753">
          <cell r="B753" t="str">
            <v>No Long Lead Permits</v>
          </cell>
          <cell r="C753">
            <v>1</v>
          </cell>
        </row>
        <row r="756">
          <cell r="B756" t="str">
            <v>Low PSI / Capacity</v>
          </cell>
          <cell r="C756">
            <v>4</v>
          </cell>
        </row>
        <row r="757">
          <cell r="B757" t="str">
            <v>Water</v>
          </cell>
          <cell r="C757">
            <v>5</v>
          </cell>
        </row>
        <row r="758">
          <cell r="B758" t="str">
            <v>Unlocatable Pipe</v>
          </cell>
          <cell r="C758">
            <v>5</v>
          </cell>
        </row>
        <row r="759">
          <cell r="B759" t="str">
            <v>None Identified</v>
          </cell>
          <cell r="C759">
            <v>0</v>
          </cell>
        </row>
        <row r="762">
          <cell r="B762" t="str">
            <v>Long Lead Time</v>
          </cell>
          <cell r="C762">
            <v>4</v>
          </cell>
        </row>
        <row r="763">
          <cell r="B763" t="str">
            <v xml:space="preserve">Obsolete Material </v>
          </cell>
          <cell r="C763">
            <v>5</v>
          </cell>
        </row>
        <row r="764">
          <cell r="B764" t="str">
            <v>Material Available</v>
          </cell>
          <cell r="C764">
            <v>1</v>
          </cell>
        </row>
      </sheetData>
      <sheetData sheetId="9" refreshError="1">
        <row r="2">
          <cell r="A2" t="str">
            <v>NE4001</v>
          </cell>
          <cell r="B2">
            <v>25.5854</v>
          </cell>
        </row>
        <row r="3">
          <cell r="A3" t="str">
            <v>NE4001</v>
          </cell>
          <cell r="B3">
            <v>5.8658663214730797</v>
          </cell>
        </row>
        <row r="4">
          <cell r="A4" t="str">
            <v>NE4002</v>
          </cell>
          <cell r="B4">
            <v>5.9173999999999998</v>
          </cell>
        </row>
        <row r="5">
          <cell r="A5" t="str">
            <v>NE4002</v>
          </cell>
          <cell r="B5">
            <v>5.8531805250536504</v>
          </cell>
        </row>
        <row r="6">
          <cell r="A6" t="str">
            <v>NE4003</v>
          </cell>
          <cell r="B6">
            <v>22.232199999999999</v>
          </cell>
        </row>
        <row r="7">
          <cell r="A7" t="str">
            <v>NE4003</v>
          </cell>
          <cell r="B7">
            <v>5.8404947286342299</v>
          </cell>
        </row>
        <row r="8">
          <cell r="A8" t="str">
            <v>NE4004</v>
          </cell>
          <cell r="B8">
            <v>19.491099999999999</v>
          </cell>
        </row>
        <row r="9">
          <cell r="A9" t="str">
            <v>NE4004</v>
          </cell>
          <cell r="B9">
            <v>5.8278089322148103</v>
          </cell>
        </row>
        <row r="10">
          <cell r="A10" t="str">
            <v>NE4005</v>
          </cell>
          <cell r="B10">
            <v>14.8757</v>
          </cell>
        </row>
        <row r="11">
          <cell r="A11" t="str">
            <v>NE4005</v>
          </cell>
          <cell r="B11">
            <v>5.8151231357953899</v>
          </cell>
        </row>
        <row r="12">
          <cell r="A12" t="str">
            <v>NE4006</v>
          </cell>
          <cell r="B12">
            <v>16.962199999999999</v>
          </cell>
        </row>
        <row r="13">
          <cell r="A13" t="str">
            <v>NE4006</v>
          </cell>
          <cell r="B13">
            <v>5.8024373393759703</v>
          </cell>
        </row>
        <row r="14">
          <cell r="A14" t="str">
            <v>NE4007</v>
          </cell>
          <cell r="B14">
            <v>7.7610999999999999</v>
          </cell>
        </row>
        <row r="15">
          <cell r="A15" t="str">
            <v>NE4007</v>
          </cell>
          <cell r="B15">
            <v>5.7897515429565498</v>
          </cell>
        </row>
        <row r="16">
          <cell r="A16" t="str">
            <v>NE4008</v>
          </cell>
          <cell r="B16">
            <v>9.7829999999999995</v>
          </cell>
        </row>
        <row r="17">
          <cell r="A17" t="str">
            <v>NE4008</v>
          </cell>
          <cell r="B17">
            <v>5.7770657465371302</v>
          </cell>
        </row>
        <row r="18">
          <cell r="A18" t="str">
            <v>NE4009</v>
          </cell>
          <cell r="B18">
            <v>15.1386</v>
          </cell>
        </row>
        <row r="19">
          <cell r="A19" t="str">
            <v>NE4009</v>
          </cell>
          <cell r="B19">
            <v>5.7643799501177098</v>
          </cell>
        </row>
        <row r="20">
          <cell r="A20" t="str">
            <v>NE4010</v>
          </cell>
          <cell r="B20">
            <v>11.228899999999999</v>
          </cell>
        </row>
        <row r="21">
          <cell r="A21" t="str">
            <v>NE4010</v>
          </cell>
          <cell r="B21">
            <v>5.7516941536982902</v>
          </cell>
        </row>
        <row r="22">
          <cell r="A22" t="str">
            <v>NE4012</v>
          </cell>
          <cell r="B22">
            <v>19.5243</v>
          </cell>
        </row>
        <row r="23">
          <cell r="A23" t="str">
            <v>NE4012</v>
          </cell>
          <cell r="B23">
            <v>5.7390083572788697</v>
          </cell>
        </row>
        <row r="24">
          <cell r="A24" t="str">
            <v>NE4013</v>
          </cell>
          <cell r="B24">
            <v>9.1304999999999996</v>
          </cell>
        </row>
        <row r="25">
          <cell r="A25" t="str">
            <v>NE4013</v>
          </cell>
          <cell r="B25">
            <v>5.7263225608594501</v>
          </cell>
        </row>
        <row r="26">
          <cell r="A26" t="str">
            <v>NE4014</v>
          </cell>
          <cell r="B26">
            <v>8.7512000000000008</v>
          </cell>
        </row>
        <row r="27">
          <cell r="A27" t="str">
            <v>NE4014</v>
          </cell>
          <cell r="B27">
            <v>5.7136367644400297</v>
          </cell>
        </row>
        <row r="28">
          <cell r="A28" t="str">
            <v>NE4015</v>
          </cell>
          <cell r="B28">
            <v>20.802199999999999</v>
          </cell>
        </row>
        <row r="29">
          <cell r="A29" t="str">
            <v>NE4015</v>
          </cell>
          <cell r="B29">
            <v>5.7009509680206101</v>
          </cell>
        </row>
        <row r="30">
          <cell r="A30" t="str">
            <v>NE4016</v>
          </cell>
          <cell r="B30">
            <v>9.4640000000000004</v>
          </cell>
        </row>
        <row r="31">
          <cell r="A31" t="str">
            <v>NE4016</v>
          </cell>
          <cell r="B31">
            <v>5.6882651716011896</v>
          </cell>
        </row>
        <row r="32">
          <cell r="A32" t="str">
            <v>NE4017</v>
          </cell>
          <cell r="B32">
            <v>11.6906</v>
          </cell>
        </row>
        <row r="33">
          <cell r="A33" t="str">
            <v>NE4017</v>
          </cell>
          <cell r="B33">
            <v>5.67557937518177</v>
          </cell>
        </row>
        <row r="34">
          <cell r="A34" t="str">
            <v>NE4018</v>
          </cell>
          <cell r="B34">
            <v>14.6402</v>
          </cell>
        </row>
        <row r="35">
          <cell r="A35" t="str">
            <v>NE4018</v>
          </cell>
          <cell r="B35">
            <v>5.6628935787623504</v>
          </cell>
        </row>
        <row r="36">
          <cell r="A36" t="str">
            <v>NE4019</v>
          </cell>
          <cell r="B36">
            <v>16.918600000000001</v>
          </cell>
        </row>
        <row r="37">
          <cell r="A37" t="str">
            <v>NE4019</v>
          </cell>
          <cell r="B37">
            <v>5.65020778234293</v>
          </cell>
        </row>
        <row r="38">
          <cell r="A38" t="str">
            <v>NE4019.S001</v>
          </cell>
          <cell r="B38">
            <v>7.9560000000000004</v>
          </cell>
        </row>
        <row r="39">
          <cell r="A39" t="str">
            <v>NE4019.S002</v>
          </cell>
          <cell r="B39">
            <v>7.5612000000000004</v>
          </cell>
        </row>
        <row r="40">
          <cell r="A40" t="str">
            <v>NE4019.S003</v>
          </cell>
          <cell r="B40">
            <v>7.3944999999999999</v>
          </cell>
        </row>
        <row r="41">
          <cell r="A41" t="str">
            <v>NE4019.S004</v>
          </cell>
          <cell r="B41">
            <v>8.0806000000000004</v>
          </cell>
        </row>
        <row r="42">
          <cell r="A42" t="str">
            <v>NE4019.S005</v>
          </cell>
          <cell r="B42">
            <v>7.2789000000000001</v>
          </cell>
        </row>
        <row r="43">
          <cell r="A43" t="str">
            <v>NE4019.S006</v>
          </cell>
          <cell r="B43">
            <v>5.6375219859235104</v>
          </cell>
        </row>
        <row r="44">
          <cell r="A44" t="str">
            <v>NE4019.S007</v>
          </cell>
          <cell r="B44">
            <v>5.6248361895040899</v>
          </cell>
        </row>
        <row r="45">
          <cell r="A45" t="str">
            <v>NE4019.S008</v>
          </cell>
          <cell r="B45">
            <v>5.6121503930846703</v>
          </cell>
        </row>
        <row r="46">
          <cell r="A46" t="str">
            <v>NE4019.S009</v>
          </cell>
          <cell r="B46">
            <v>5.5994645966652499</v>
          </cell>
        </row>
        <row r="47">
          <cell r="A47" t="str">
            <v>NE4019.S010</v>
          </cell>
          <cell r="B47">
            <v>5.5867788002458303</v>
          </cell>
        </row>
        <row r="48">
          <cell r="A48" t="str">
            <v>NE4020</v>
          </cell>
          <cell r="B48">
            <v>9.7838999999999992</v>
          </cell>
        </row>
        <row r="49">
          <cell r="A49" t="str">
            <v>NE4020</v>
          </cell>
          <cell r="B49">
            <v>5.5740930038264098</v>
          </cell>
        </row>
        <row r="50">
          <cell r="A50" t="str">
            <v>NE4021</v>
          </cell>
          <cell r="B50">
            <v>9.0787999999999993</v>
          </cell>
        </row>
        <row r="51">
          <cell r="A51" t="str">
            <v>NE4022</v>
          </cell>
          <cell r="B51">
            <v>15.7196</v>
          </cell>
        </row>
        <row r="52">
          <cell r="A52" t="str">
            <v>NE4023</v>
          </cell>
          <cell r="B52">
            <v>18.476299999999998</v>
          </cell>
        </row>
        <row r="53">
          <cell r="A53" t="str">
            <v>NE4024</v>
          </cell>
          <cell r="B53">
            <v>14.3795</v>
          </cell>
        </row>
        <row r="54">
          <cell r="A54" t="str">
            <v>NE4025</v>
          </cell>
          <cell r="B54">
            <v>8.8272999999999993</v>
          </cell>
        </row>
        <row r="55">
          <cell r="A55" t="str">
            <v>NE4027</v>
          </cell>
          <cell r="B55">
            <v>8.1514000000000006</v>
          </cell>
        </row>
        <row r="56">
          <cell r="A56" t="str">
            <v>NE4028</v>
          </cell>
          <cell r="B56">
            <v>6.8855000000000004</v>
          </cell>
        </row>
        <row r="57">
          <cell r="A57" t="str">
            <v>NE4029</v>
          </cell>
          <cell r="B57">
            <v>17.158999999999999</v>
          </cell>
        </row>
        <row r="58">
          <cell r="A58" t="str">
            <v>NE4030</v>
          </cell>
          <cell r="B58">
            <v>8.3254000000000001</v>
          </cell>
        </row>
        <row r="59">
          <cell r="A59" t="str">
            <v>NE4031</v>
          </cell>
          <cell r="B59">
            <v>11.6645</v>
          </cell>
        </row>
        <row r="60">
          <cell r="A60" t="str">
            <v>NE4031.S001</v>
          </cell>
          <cell r="B60">
            <v>5.9587000000000003</v>
          </cell>
        </row>
        <row r="61">
          <cell r="A61" t="str">
            <v>NE4032</v>
          </cell>
          <cell r="B61">
            <v>7.4653999999999998</v>
          </cell>
        </row>
        <row r="62">
          <cell r="A62" t="str">
            <v>NE4033</v>
          </cell>
          <cell r="B62">
            <v>6.5876000000000001</v>
          </cell>
        </row>
        <row r="63">
          <cell r="A63" t="str">
            <v>NS5001</v>
          </cell>
          <cell r="B63">
            <v>16.450099999999999</v>
          </cell>
        </row>
        <row r="64">
          <cell r="A64" t="str">
            <v>NS5002</v>
          </cell>
          <cell r="B64">
            <v>21.3827</v>
          </cell>
        </row>
        <row r="65">
          <cell r="A65" t="str">
            <v>NS5003</v>
          </cell>
          <cell r="B65">
            <v>22.5594</v>
          </cell>
        </row>
        <row r="66">
          <cell r="A66" t="str">
            <v>NS5004</v>
          </cell>
          <cell r="B66">
            <v>16.045100000000001</v>
          </cell>
        </row>
        <row r="67">
          <cell r="A67" t="str">
            <v>NS5005</v>
          </cell>
          <cell r="B67">
            <v>19.691299999999998</v>
          </cell>
        </row>
        <row r="68">
          <cell r="A68" t="str">
            <v>NS5006</v>
          </cell>
          <cell r="B68">
            <v>25.665400000000002</v>
          </cell>
        </row>
        <row r="69">
          <cell r="A69" t="str">
            <v>NS5007</v>
          </cell>
          <cell r="B69">
            <v>9.3331</v>
          </cell>
        </row>
        <row r="70">
          <cell r="A70" t="str">
            <v>NS5008</v>
          </cell>
          <cell r="B70">
            <v>17.103999999999999</v>
          </cell>
        </row>
        <row r="71">
          <cell r="A71" t="str">
            <v>NS5009</v>
          </cell>
          <cell r="B71">
            <v>13.572100000000001</v>
          </cell>
        </row>
        <row r="72">
          <cell r="A72" t="str">
            <v>NS5010</v>
          </cell>
          <cell r="B72">
            <v>13.195</v>
          </cell>
        </row>
        <row r="73">
          <cell r="A73" t="str">
            <v>NS5011</v>
          </cell>
          <cell r="B73">
            <v>14.6777</v>
          </cell>
        </row>
        <row r="74">
          <cell r="A74" t="str">
            <v>NS5012</v>
          </cell>
          <cell r="B74">
            <v>14.6777</v>
          </cell>
        </row>
        <row r="75">
          <cell r="A75" t="str">
            <v>NS5013</v>
          </cell>
          <cell r="B75">
            <v>16.872399999999999</v>
          </cell>
        </row>
        <row r="76">
          <cell r="A76" t="str">
            <v>NS5014</v>
          </cell>
          <cell r="B76">
            <v>21.509599999999999</v>
          </cell>
        </row>
        <row r="77">
          <cell r="A77" t="str">
            <v>NS5015</v>
          </cell>
          <cell r="B77">
            <v>15.69</v>
          </cell>
        </row>
        <row r="78">
          <cell r="A78" t="str">
            <v>NS5015.S001</v>
          </cell>
          <cell r="B78">
            <v>10.0623</v>
          </cell>
        </row>
        <row r="79">
          <cell r="A79" t="str">
            <v>NS5015.S002</v>
          </cell>
          <cell r="B79">
            <v>10.6073</v>
          </cell>
        </row>
        <row r="80">
          <cell r="A80" t="str">
            <v>NS5015.S003</v>
          </cell>
          <cell r="B80">
            <v>9.9100999999999999</v>
          </cell>
        </row>
        <row r="81">
          <cell r="A81" t="str">
            <v>NS5015.S004</v>
          </cell>
          <cell r="B81">
            <v>6.9173999999999998</v>
          </cell>
        </row>
        <row r="82">
          <cell r="A82" t="str">
            <v>NS5015.S005</v>
          </cell>
          <cell r="B82">
            <v>9.8962000000000003</v>
          </cell>
        </row>
        <row r="83">
          <cell r="A83" t="str">
            <v>NS5015.S006</v>
          </cell>
          <cell r="B83">
            <v>9.8962000000000003</v>
          </cell>
        </row>
        <row r="84">
          <cell r="A84" t="str">
            <v>NS5016</v>
          </cell>
          <cell r="B84">
            <v>24.632400000000001</v>
          </cell>
        </row>
        <row r="85">
          <cell r="A85" t="str">
            <v>NS5017</v>
          </cell>
          <cell r="B85">
            <v>20.200800000000001</v>
          </cell>
        </row>
        <row r="86">
          <cell r="A86" t="str">
            <v>NS5050</v>
          </cell>
          <cell r="B86">
            <v>10.5313</v>
          </cell>
        </row>
        <row r="87">
          <cell r="A87" t="str">
            <v>NS5051</v>
          </cell>
          <cell r="B87">
            <v>12.170199999999999</v>
          </cell>
        </row>
        <row r="88">
          <cell r="A88" t="str">
            <v>NS5052</v>
          </cell>
          <cell r="B88">
            <v>14.451499999999999</v>
          </cell>
        </row>
        <row r="89">
          <cell r="A89" t="str">
            <v>NS5053</v>
          </cell>
          <cell r="B89">
            <v>11.0344</v>
          </cell>
        </row>
        <row r="90">
          <cell r="A90" t="str">
            <v>NS5054</v>
          </cell>
          <cell r="B90">
            <v>4.9283999999999999</v>
          </cell>
        </row>
        <row r="91">
          <cell r="A91" t="str">
            <v>NS5055</v>
          </cell>
          <cell r="B91">
            <v>13.318899999999999</v>
          </cell>
        </row>
        <row r="92">
          <cell r="A92" t="str">
            <v>NS5056</v>
          </cell>
          <cell r="B92">
            <v>15.259600000000001</v>
          </cell>
        </row>
        <row r="93">
          <cell r="A93" t="str">
            <v>NS5057</v>
          </cell>
          <cell r="B93">
            <v>19.988900000000001</v>
          </cell>
        </row>
        <row r="94">
          <cell r="A94" t="str">
            <v>NS5058</v>
          </cell>
          <cell r="B94">
            <v>19.9072</v>
          </cell>
        </row>
        <row r="95">
          <cell r="A95" t="str">
            <v>NS5059</v>
          </cell>
          <cell r="B95">
            <v>16.035699999999999</v>
          </cell>
        </row>
        <row r="96">
          <cell r="A96" t="str">
            <v>NS5060</v>
          </cell>
          <cell r="B96">
            <v>13.531499999999999</v>
          </cell>
        </row>
        <row r="97">
          <cell r="A97" t="str">
            <v>NS5061</v>
          </cell>
          <cell r="B97">
            <v>18.7348</v>
          </cell>
        </row>
        <row r="98">
          <cell r="A98" t="str">
            <v>NS5120</v>
          </cell>
          <cell r="B98">
            <v>22.799700000000001</v>
          </cell>
        </row>
        <row r="99">
          <cell r="A99" t="str">
            <v>NS5140</v>
          </cell>
          <cell r="B99">
            <v>20.581199999999999</v>
          </cell>
        </row>
        <row r="100">
          <cell r="A100" t="str">
            <v>NS5141</v>
          </cell>
          <cell r="B100">
            <v>13.4992</v>
          </cell>
        </row>
        <row r="101">
          <cell r="A101" t="str">
            <v>NS5142</v>
          </cell>
          <cell r="B101">
            <v>23.835100000000001</v>
          </cell>
        </row>
        <row r="102">
          <cell r="A102" t="str">
            <v>NS5143</v>
          </cell>
          <cell r="B102">
            <v>25.8094</v>
          </cell>
        </row>
        <row r="103">
          <cell r="A103" t="str">
            <v>NS5144</v>
          </cell>
          <cell r="B103">
            <v>15.3095</v>
          </cell>
        </row>
        <row r="104">
          <cell r="A104" t="str">
            <v>NS5145</v>
          </cell>
          <cell r="B104">
            <v>19.7727</v>
          </cell>
        </row>
        <row r="105">
          <cell r="A105" t="str">
            <v>NS5146</v>
          </cell>
          <cell r="B105">
            <v>12.562799999999999</v>
          </cell>
        </row>
        <row r="106">
          <cell r="A106" t="str">
            <v>NS5147</v>
          </cell>
          <cell r="B106">
            <v>13.1195</v>
          </cell>
        </row>
        <row r="107">
          <cell r="A107" t="str">
            <v>NS5148</v>
          </cell>
          <cell r="B107">
            <v>8.0152999999999999</v>
          </cell>
        </row>
        <row r="108">
          <cell r="A108" t="str">
            <v>NS5149</v>
          </cell>
          <cell r="B108">
            <v>7.1919000000000004</v>
          </cell>
        </row>
        <row r="109">
          <cell r="A109" t="str">
            <v>NS5150</v>
          </cell>
          <cell r="B109">
            <v>10.012700000000001</v>
          </cell>
        </row>
        <row r="110">
          <cell r="A110" t="str">
            <v>NS5700</v>
          </cell>
          <cell r="B110">
            <v>5.4846000000000004</v>
          </cell>
        </row>
        <row r="111">
          <cell r="A111" t="str">
            <v>NS5701</v>
          </cell>
          <cell r="B111">
            <v>5.3495999999999997</v>
          </cell>
        </row>
        <row r="112">
          <cell r="A112" t="str">
            <v>NS5702</v>
          </cell>
          <cell r="B112">
            <v>5.2632000000000003</v>
          </cell>
        </row>
        <row r="113">
          <cell r="A113" t="str">
            <v>NS5703</v>
          </cell>
          <cell r="B113">
            <v>5.3872</v>
          </cell>
        </row>
        <row r="114">
          <cell r="A114" t="str">
            <v>NS5704</v>
          </cell>
          <cell r="B114">
            <v>5.2365000000000004</v>
          </cell>
        </row>
        <row r="115">
          <cell r="A115" t="str">
            <v>NS5705</v>
          </cell>
          <cell r="B115">
            <v>5.2632000000000003</v>
          </cell>
        </row>
        <row r="116">
          <cell r="A116" t="str">
            <v>NS5706</v>
          </cell>
          <cell r="B116">
            <v>4.9194000000000004</v>
          </cell>
        </row>
        <row r="117">
          <cell r="A117" t="str">
            <v>NS5707</v>
          </cell>
          <cell r="B117">
            <v>5.3045</v>
          </cell>
        </row>
        <row r="118">
          <cell r="A118" t="str">
            <v>NS5708</v>
          </cell>
          <cell r="B118">
            <v>5.4020000000000001</v>
          </cell>
        </row>
        <row r="119">
          <cell r="A119" t="str">
            <v>NS5709</v>
          </cell>
          <cell r="B119">
            <v>4.9127999999999998</v>
          </cell>
        </row>
        <row r="120">
          <cell r="A120" t="str">
            <v>NS5710</v>
          </cell>
          <cell r="B120">
            <v>5.5403000000000002</v>
          </cell>
        </row>
        <row r="121">
          <cell r="A121" t="str">
            <v>NS5711</v>
          </cell>
          <cell r="B121">
            <v>5.2778</v>
          </cell>
        </row>
        <row r="122">
          <cell r="A122" t="str">
            <v>NS5712</v>
          </cell>
          <cell r="B122">
            <v>5.1329000000000002</v>
          </cell>
        </row>
        <row r="123">
          <cell r="A123" t="str">
            <v>NS5713</v>
          </cell>
          <cell r="B123">
            <v>4.9177999999999997</v>
          </cell>
        </row>
        <row r="124">
          <cell r="A124" t="str">
            <v>NS5714</v>
          </cell>
          <cell r="B124">
            <v>5.2365000000000004</v>
          </cell>
        </row>
        <row r="125">
          <cell r="A125" t="str">
            <v>NS5715</v>
          </cell>
          <cell r="B125">
            <v>5.1489000000000003</v>
          </cell>
        </row>
        <row r="126">
          <cell r="A126" t="str">
            <v>NS5716</v>
          </cell>
          <cell r="B126">
            <v>5.2728999999999999</v>
          </cell>
        </row>
        <row r="127">
          <cell r="A127" t="str">
            <v>NS5717</v>
          </cell>
          <cell r="B127">
            <v>8.16</v>
          </cell>
        </row>
        <row r="128">
          <cell r="A128" t="str">
            <v>NS5718</v>
          </cell>
          <cell r="B128">
            <v>5.3956</v>
          </cell>
        </row>
        <row r="129">
          <cell r="A129" t="str">
            <v>NS5719</v>
          </cell>
          <cell r="B129">
            <v>5.2632000000000003</v>
          </cell>
        </row>
        <row r="130">
          <cell r="A130" t="str">
            <v>NS5720</v>
          </cell>
          <cell r="B130">
            <v>6.6661000000000001</v>
          </cell>
        </row>
        <row r="131">
          <cell r="A131" t="str">
            <v>NS5721</v>
          </cell>
          <cell r="B131">
            <v>5.4162999999999997</v>
          </cell>
        </row>
        <row r="132">
          <cell r="A132" t="str">
            <v>NS5750</v>
          </cell>
          <cell r="B132">
            <v>9.7805999999999997</v>
          </cell>
        </row>
        <row r="133">
          <cell r="A133" t="str">
            <v>NS5751</v>
          </cell>
          <cell r="B133">
            <v>7.4444999999999997</v>
          </cell>
        </row>
        <row r="134">
          <cell r="A134" t="str">
            <v>NS5752</v>
          </cell>
          <cell r="B134">
            <v>5.5195999999999996</v>
          </cell>
        </row>
        <row r="135">
          <cell r="A135" t="str">
            <v>NS5753</v>
          </cell>
          <cell r="B135">
            <v>5.5023</v>
          </cell>
        </row>
        <row r="136">
          <cell r="A136" t="str">
            <v>NS5754</v>
          </cell>
          <cell r="B136">
            <v>5.8654000000000002</v>
          </cell>
        </row>
        <row r="137">
          <cell r="A137" t="str">
            <v>NS5755</v>
          </cell>
          <cell r="B137">
            <v>5.3992000000000004</v>
          </cell>
        </row>
        <row r="138">
          <cell r="A138" t="str">
            <v>NS5756</v>
          </cell>
          <cell r="B138">
            <v>5.3388</v>
          </cell>
        </row>
        <row r="139">
          <cell r="A139" t="str">
            <v>NS5757</v>
          </cell>
          <cell r="B139">
            <v>5.4320000000000004</v>
          </cell>
        </row>
        <row r="140">
          <cell r="A140" t="str">
            <v>NS5758</v>
          </cell>
          <cell r="B140">
            <v>5.2598000000000003</v>
          </cell>
        </row>
        <row r="141">
          <cell r="A141" t="str">
            <v>NS5759</v>
          </cell>
          <cell r="B141">
            <v>5.0083000000000002</v>
          </cell>
        </row>
        <row r="142">
          <cell r="A142" t="str">
            <v>NS5760</v>
          </cell>
          <cell r="B142">
            <v>3.8660000000000001</v>
          </cell>
        </row>
        <row r="143">
          <cell r="A143" t="str">
            <v>NS5761</v>
          </cell>
          <cell r="B143">
            <v>4.9382000000000001</v>
          </cell>
        </row>
        <row r="144">
          <cell r="A144" t="str">
            <v>NS5762</v>
          </cell>
          <cell r="B144">
            <v>3.9592000000000001</v>
          </cell>
        </row>
        <row r="145">
          <cell r="A145" t="str">
            <v>NS5763</v>
          </cell>
          <cell r="B145">
            <v>5.0083000000000002</v>
          </cell>
        </row>
        <row r="146">
          <cell r="A146" t="str">
            <v>NS5764</v>
          </cell>
          <cell r="B146">
            <v>7.0011999999999999</v>
          </cell>
        </row>
        <row r="147">
          <cell r="A147" t="str">
            <v>NS5802</v>
          </cell>
          <cell r="B147">
            <v>11.166600000000001</v>
          </cell>
        </row>
        <row r="148">
          <cell r="A148" t="str">
            <v>NS5803</v>
          </cell>
          <cell r="B148">
            <v>15.2615</v>
          </cell>
        </row>
        <row r="149">
          <cell r="A149" t="str">
            <v>NS5805</v>
          </cell>
          <cell r="B149">
            <v>6.3529</v>
          </cell>
        </row>
        <row r="150">
          <cell r="A150" t="str">
            <v>NS5806</v>
          </cell>
          <cell r="B150">
            <v>4.2464000000000004</v>
          </cell>
        </row>
        <row r="151">
          <cell r="A151" t="str">
            <v>NS5807</v>
          </cell>
          <cell r="B151">
            <v>4.6325000000000003</v>
          </cell>
        </row>
        <row r="152">
          <cell r="A152" t="str">
            <v>NS5808</v>
          </cell>
          <cell r="B152">
            <v>5.7117000000000004</v>
          </cell>
        </row>
        <row r="153">
          <cell r="A153" t="str">
            <v>NS5809</v>
          </cell>
          <cell r="B153">
            <v>5.6182999999999996</v>
          </cell>
        </row>
        <row r="154">
          <cell r="A154" t="str">
            <v>NS5810</v>
          </cell>
          <cell r="B154">
            <v>7.1840999999999999</v>
          </cell>
        </row>
        <row r="155">
          <cell r="A155" t="str">
            <v>NS5811</v>
          </cell>
          <cell r="B155">
            <v>5.4781000000000004</v>
          </cell>
        </row>
        <row r="156">
          <cell r="A156" t="str">
            <v>NS5812</v>
          </cell>
          <cell r="B156">
            <v>5.7595000000000001</v>
          </cell>
        </row>
        <row r="157">
          <cell r="A157" t="str">
            <v>NS5813</v>
          </cell>
          <cell r="B157">
            <v>5.3731999999999998</v>
          </cell>
        </row>
        <row r="158">
          <cell r="A158" t="str">
            <v>NS5814</v>
          </cell>
          <cell r="B158">
            <v>4.1859999999999999</v>
          </cell>
        </row>
        <row r="159">
          <cell r="A159" t="str">
            <v>NS5815</v>
          </cell>
          <cell r="B159">
            <v>5.6738</v>
          </cell>
        </row>
        <row r="160">
          <cell r="A160" t="str">
            <v>NS5816</v>
          </cell>
          <cell r="B160">
            <v>10.759</v>
          </cell>
        </row>
        <row r="161">
          <cell r="A161" t="str">
            <v>NS5817</v>
          </cell>
          <cell r="B161">
            <v>8.7584999999999997</v>
          </cell>
        </row>
        <row r="162">
          <cell r="A162" t="str">
            <v>NS5818</v>
          </cell>
          <cell r="B162">
            <v>7.3224</v>
          </cell>
        </row>
        <row r="163">
          <cell r="A163" t="str">
            <v>NS5819</v>
          </cell>
          <cell r="B163">
            <v>5.4992999999999999</v>
          </cell>
        </row>
        <row r="164">
          <cell r="A164" t="str">
            <v>NS5820</v>
          </cell>
          <cell r="B164">
            <v>9.4727999999999994</v>
          </cell>
        </row>
        <row r="165">
          <cell r="A165" t="str">
            <v>NS5821</v>
          </cell>
          <cell r="B165">
            <v>7.0583</v>
          </cell>
        </row>
        <row r="166">
          <cell r="A166" t="str">
            <v>NS5822</v>
          </cell>
          <cell r="B166">
            <v>8.7406000000000006</v>
          </cell>
        </row>
        <row r="167">
          <cell r="A167" t="str">
            <v>NS5823</v>
          </cell>
          <cell r="B167">
            <v>6.8878000000000004</v>
          </cell>
        </row>
        <row r="168">
          <cell r="A168" t="str">
            <v>NS5824</v>
          </cell>
          <cell r="B168">
            <v>6.8878000000000004</v>
          </cell>
        </row>
        <row r="169">
          <cell r="A169" t="str">
            <v>NS5825</v>
          </cell>
          <cell r="B169">
            <v>6.9497</v>
          </cell>
        </row>
        <row r="170">
          <cell r="A170" t="str">
            <v>NS5826</v>
          </cell>
          <cell r="B170">
            <v>3.9506000000000001</v>
          </cell>
        </row>
        <row r="171">
          <cell r="A171" t="str">
            <v>NS5827</v>
          </cell>
          <cell r="B171">
            <v>7.2950999999999997</v>
          </cell>
        </row>
        <row r="172">
          <cell r="A172" t="str">
            <v>NS5828</v>
          </cell>
          <cell r="B172">
            <v>10.528700000000001</v>
          </cell>
        </row>
        <row r="173">
          <cell r="A173" t="str">
            <v>NS5829</v>
          </cell>
          <cell r="B173">
            <v>4.8102</v>
          </cell>
        </row>
        <row r="174">
          <cell r="A174" t="str">
            <v>NS5830</v>
          </cell>
          <cell r="B174">
            <v>4.1859999999999999</v>
          </cell>
        </row>
        <row r="175">
          <cell r="A175" t="str">
            <v>NS5831</v>
          </cell>
          <cell r="B175">
            <v>5.7264999999999997</v>
          </cell>
        </row>
        <row r="176">
          <cell r="A176" t="str">
            <v>NS5832</v>
          </cell>
          <cell r="B176">
            <v>4.3658999999999999</v>
          </cell>
        </row>
        <row r="177">
          <cell r="A177" t="str">
            <v>NS5833</v>
          </cell>
          <cell r="B177">
            <v>6.9389000000000003</v>
          </cell>
        </row>
        <row r="178">
          <cell r="A178" t="str">
            <v>NS5834</v>
          </cell>
          <cell r="B178">
            <v>5.4099000000000004</v>
          </cell>
        </row>
        <row r="179">
          <cell r="A179" t="str">
            <v>NS5835</v>
          </cell>
          <cell r="B179">
            <v>5.3089000000000004</v>
          </cell>
        </row>
        <row r="180">
          <cell r="A180" t="str">
            <v>NS5836</v>
          </cell>
          <cell r="B180">
            <v>5.3178000000000001</v>
          </cell>
        </row>
        <row r="181">
          <cell r="A181" t="str">
            <v>NS5837</v>
          </cell>
          <cell r="B181">
            <v>7.1173000000000002</v>
          </cell>
        </row>
        <row r="182">
          <cell r="A182" t="str">
            <v>NS5838</v>
          </cell>
          <cell r="B182">
            <v>8.8932000000000002</v>
          </cell>
        </row>
        <row r="183">
          <cell r="A183" t="str">
            <v>NS5839</v>
          </cell>
          <cell r="B183">
            <v>4.5578000000000003</v>
          </cell>
        </row>
        <row r="184">
          <cell r="A184" t="str">
            <v>NS5840</v>
          </cell>
          <cell r="B184">
            <v>5.2523</v>
          </cell>
        </row>
        <row r="185">
          <cell r="A185" t="str">
            <v>NS5841</v>
          </cell>
          <cell r="B185">
            <v>4.5444000000000004</v>
          </cell>
        </row>
        <row r="186">
          <cell r="A186" t="str">
            <v>NS5842</v>
          </cell>
          <cell r="B186">
            <v>4.3825000000000003</v>
          </cell>
        </row>
        <row r="187">
          <cell r="A187" t="str">
            <v>NS5843</v>
          </cell>
          <cell r="B187">
            <v>4.5590999999999999</v>
          </cell>
        </row>
        <row r="188">
          <cell r="A188" t="str">
            <v>NS5844</v>
          </cell>
          <cell r="B188">
            <v>5.7590000000000003</v>
          </cell>
        </row>
        <row r="189">
          <cell r="A189" t="str">
            <v>NS5845</v>
          </cell>
          <cell r="B189">
            <v>8.4673999999999996</v>
          </cell>
        </row>
        <row r="190">
          <cell r="A190" t="str">
            <v>NS5846</v>
          </cell>
          <cell r="B190">
            <v>9.1862999999999992</v>
          </cell>
        </row>
        <row r="191">
          <cell r="A191" t="str">
            <v>NS5847</v>
          </cell>
          <cell r="B191">
            <v>8.8327000000000009</v>
          </cell>
        </row>
        <row r="192">
          <cell r="A192" t="str">
            <v>NS5848</v>
          </cell>
          <cell r="B192">
            <v>9.1067999999999998</v>
          </cell>
        </row>
        <row r="193">
          <cell r="A193" t="str">
            <v>NS5849</v>
          </cell>
          <cell r="B193">
            <v>12.950100000000001</v>
          </cell>
        </row>
        <row r="194">
          <cell r="A194" t="str">
            <v>NS5850</v>
          </cell>
          <cell r="B194">
            <v>9.2406000000000006</v>
          </cell>
        </row>
        <row r="195">
          <cell r="A195" t="str">
            <v>NS5851</v>
          </cell>
          <cell r="B195">
            <v>9.0434000000000001</v>
          </cell>
        </row>
        <row r="196">
          <cell r="A196" t="str">
            <v>NS5852</v>
          </cell>
          <cell r="B196">
            <v>5.8471000000000002</v>
          </cell>
        </row>
        <row r="197">
          <cell r="A197" t="str">
            <v>NS5853</v>
          </cell>
          <cell r="B197">
            <v>8.6156000000000006</v>
          </cell>
        </row>
        <row r="198">
          <cell r="A198" t="str">
            <v>NS5854</v>
          </cell>
          <cell r="B198">
            <v>6.9680999999999997</v>
          </cell>
        </row>
        <row r="199">
          <cell r="A199" t="str">
            <v>NS5855</v>
          </cell>
          <cell r="B199">
            <v>5.9</v>
          </cell>
        </row>
        <row r="200">
          <cell r="A200" t="str">
            <v>NS5856</v>
          </cell>
          <cell r="B200">
            <v>4.6300999999999997</v>
          </cell>
        </row>
        <row r="201">
          <cell r="A201" t="str">
            <v>NS5857</v>
          </cell>
          <cell r="B201">
            <v>10.204499999999999</v>
          </cell>
        </row>
        <row r="202">
          <cell r="A202" t="str">
            <v>NS5858</v>
          </cell>
          <cell r="B202">
            <v>9.0326000000000004</v>
          </cell>
        </row>
        <row r="203">
          <cell r="A203" t="str">
            <v>NS5859</v>
          </cell>
          <cell r="B203">
            <v>5.3055000000000003</v>
          </cell>
        </row>
        <row r="204">
          <cell r="A204" t="str">
            <v>NS5860</v>
          </cell>
          <cell r="B204">
            <v>6.8611000000000004</v>
          </cell>
        </row>
        <row r="205">
          <cell r="A205" t="str">
            <v>NS5861</v>
          </cell>
          <cell r="B205">
            <v>7.0317999999999996</v>
          </cell>
        </row>
        <row r="206">
          <cell r="A206" t="str">
            <v>NS5862</v>
          </cell>
          <cell r="B206">
            <v>5.7515000000000001</v>
          </cell>
        </row>
        <row r="207">
          <cell r="A207" t="str">
            <v>NS5863</v>
          </cell>
          <cell r="B207">
            <v>7.1745999999999999</v>
          </cell>
        </row>
        <row r="208">
          <cell r="A208" t="str">
            <v>NS5864</v>
          </cell>
          <cell r="B208">
            <v>9.7005999999999997</v>
          </cell>
        </row>
        <row r="209">
          <cell r="A209" t="str">
            <v>NS5865</v>
          </cell>
          <cell r="B209">
            <v>7.3098999999999998</v>
          </cell>
        </row>
        <row r="210">
          <cell r="A210" t="str">
            <v>NS5866</v>
          </cell>
          <cell r="B210">
            <v>4.8091999999999997</v>
          </cell>
        </row>
        <row r="211">
          <cell r="A211" t="str">
            <v>NS5867</v>
          </cell>
          <cell r="B211">
            <v>4.9124999999999996</v>
          </cell>
        </row>
        <row r="212">
          <cell r="A212" t="str">
            <v>NS5868</v>
          </cell>
          <cell r="B212">
            <v>9.0813000000000006</v>
          </cell>
        </row>
        <row r="213">
          <cell r="A213" t="str">
            <v>NS5869</v>
          </cell>
          <cell r="B213">
            <v>6.2249999999999996</v>
          </cell>
        </row>
        <row r="214">
          <cell r="A214" t="str">
            <v>NS5870</v>
          </cell>
          <cell r="B214">
            <v>5.8654000000000002</v>
          </cell>
        </row>
        <row r="215">
          <cell r="A215" t="str">
            <v>NS5871</v>
          </cell>
          <cell r="B215">
            <v>5.9191000000000003</v>
          </cell>
        </row>
        <row r="216">
          <cell r="A216" t="str">
            <v>NS5872</v>
          </cell>
          <cell r="B216">
            <v>4.6858000000000004</v>
          </cell>
        </row>
        <row r="217">
          <cell r="A217" t="str">
            <v>NS5873</v>
          </cell>
          <cell r="B217">
            <v>5.4527000000000001</v>
          </cell>
        </row>
        <row r="218">
          <cell r="A218" t="str">
            <v>NW3001</v>
          </cell>
          <cell r="B218">
            <v>14.547800000000001</v>
          </cell>
        </row>
        <row r="219">
          <cell r="A219" t="str">
            <v>NW3002</v>
          </cell>
          <cell r="B219">
            <v>11.035</v>
          </cell>
        </row>
        <row r="220">
          <cell r="A220" t="str">
            <v>NW3003</v>
          </cell>
          <cell r="B220">
            <v>8.7798999999999996</v>
          </cell>
        </row>
        <row r="221">
          <cell r="A221" t="str">
            <v>NW3004</v>
          </cell>
          <cell r="B221">
            <v>18.971</v>
          </cell>
        </row>
        <row r="222">
          <cell r="A222" t="str">
            <v>NW3005</v>
          </cell>
          <cell r="B222">
            <v>3.8582999999999998</v>
          </cell>
        </row>
        <row r="223">
          <cell r="A223" t="str">
            <v>NW3100</v>
          </cell>
          <cell r="B223">
            <v>17.7653</v>
          </cell>
        </row>
        <row r="224">
          <cell r="A224" t="str">
            <v>NW3101</v>
          </cell>
          <cell r="B224">
            <v>12.2659</v>
          </cell>
        </row>
        <row r="225">
          <cell r="A225" t="str">
            <v>NW3102</v>
          </cell>
          <cell r="B225">
            <v>11.0886</v>
          </cell>
        </row>
        <row r="226">
          <cell r="A226" t="str">
            <v>NW3103</v>
          </cell>
          <cell r="B226">
            <v>15.3969</v>
          </cell>
        </row>
        <row r="227">
          <cell r="A227" t="str">
            <v>NW3104</v>
          </cell>
          <cell r="B227">
            <v>9.1157000000000004</v>
          </cell>
        </row>
        <row r="228">
          <cell r="A228" t="str">
            <v>NW3105</v>
          </cell>
          <cell r="B228">
            <v>15.421799999999999</v>
          </cell>
        </row>
        <row r="229">
          <cell r="A229" t="str">
            <v>NW3105.S001</v>
          </cell>
          <cell r="B229">
            <v>8.7994000000000003</v>
          </cell>
        </row>
        <row r="230">
          <cell r="A230" t="str">
            <v>NW3105.S002</v>
          </cell>
          <cell r="B230">
            <v>8.7994000000000003</v>
          </cell>
        </row>
        <row r="231">
          <cell r="A231" t="str">
            <v>NW3106</v>
          </cell>
          <cell r="B231">
            <v>6.9969999999999999</v>
          </cell>
        </row>
        <row r="232">
          <cell r="A232" t="str">
            <v>NW3106.S001</v>
          </cell>
          <cell r="B232">
            <v>7.5650000000000004</v>
          </cell>
        </row>
        <row r="233">
          <cell r="A233" t="str">
            <v>NW3107</v>
          </cell>
          <cell r="B233">
            <v>21.508700000000001</v>
          </cell>
        </row>
        <row r="234">
          <cell r="A234" t="str">
            <v>NW3108</v>
          </cell>
          <cell r="B234">
            <v>20.632899999999999</v>
          </cell>
        </row>
        <row r="235">
          <cell r="A235" t="str">
            <v>NW3108.S001</v>
          </cell>
          <cell r="B235">
            <v>10.155900000000001</v>
          </cell>
        </row>
        <row r="236">
          <cell r="A236" t="str">
            <v>NW3109</v>
          </cell>
          <cell r="B236">
            <v>11.8589</v>
          </cell>
        </row>
        <row r="237">
          <cell r="A237" t="str">
            <v>NW3109.S001</v>
          </cell>
          <cell r="B237">
            <v>6.0651999999999999</v>
          </cell>
        </row>
        <row r="238">
          <cell r="A238" t="str">
            <v>NW3110</v>
          </cell>
          <cell r="B238">
            <v>10.974600000000001</v>
          </cell>
        </row>
        <row r="239">
          <cell r="A239" t="str">
            <v>NW3110.S001</v>
          </cell>
          <cell r="B239">
            <v>5.4824000000000002</v>
          </cell>
        </row>
        <row r="240">
          <cell r="A240" t="str">
            <v>NW3110.S002</v>
          </cell>
          <cell r="B240">
            <v>5.5476000000000001</v>
          </cell>
        </row>
        <row r="241">
          <cell r="A241" t="str">
            <v>NW3110.S003</v>
          </cell>
          <cell r="B241">
            <v>5.4436999999999998</v>
          </cell>
        </row>
        <row r="242">
          <cell r="A242" t="str">
            <v>NW3111</v>
          </cell>
          <cell r="B242">
            <v>7.5279999999999996</v>
          </cell>
        </row>
        <row r="243">
          <cell r="A243" t="str">
            <v>NW3112</v>
          </cell>
          <cell r="B243">
            <v>10.6258</v>
          </cell>
        </row>
        <row r="244">
          <cell r="A244" t="str">
            <v>NW3113</v>
          </cell>
          <cell r="B244">
            <v>12.5075</v>
          </cell>
        </row>
        <row r="245">
          <cell r="A245" t="str">
            <v>NW3114</v>
          </cell>
          <cell r="B245">
            <v>11.1472</v>
          </cell>
        </row>
        <row r="246">
          <cell r="A246" t="str">
            <v>NW3115</v>
          </cell>
          <cell r="B246">
            <v>13.6967</v>
          </cell>
        </row>
        <row r="247">
          <cell r="A247" t="str">
            <v>NW3116</v>
          </cell>
          <cell r="B247">
            <v>10.402799999999999</v>
          </cell>
        </row>
        <row r="248">
          <cell r="A248" t="str">
            <v>NW3117</v>
          </cell>
          <cell r="B248">
            <v>15.7845</v>
          </cell>
        </row>
        <row r="249">
          <cell r="A249" t="str">
            <v>NW3118</v>
          </cell>
          <cell r="B249">
            <v>11.6717</v>
          </cell>
        </row>
        <row r="250">
          <cell r="A250" t="str">
            <v>NW3119</v>
          </cell>
          <cell r="B250">
            <v>14.138</v>
          </cell>
        </row>
        <row r="251">
          <cell r="A251" t="str">
            <v>NW3120</v>
          </cell>
          <cell r="B251">
            <v>12.513400000000001</v>
          </cell>
        </row>
        <row r="252">
          <cell r="A252" t="str">
            <v>NW3121</v>
          </cell>
          <cell r="B252">
            <v>8.6632999999999996</v>
          </cell>
        </row>
        <row r="253">
          <cell r="A253" t="str">
            <v>NW3122</v>
          </cell>
          <cell r="B253">
            <v>16.211600000000001</v>
          </cell>
        </row>
        <row r="254">
          <cell r="A254" t="str">
            <v>NW3124</v>
          </cell>
          <cell r="B254">
            <v>12.432399999999999</v>
          </cell>
        </row>
        <row r="255">
          <cell r="A255" t="str">
            <v>NW3125</v>
          </cell>
          <cell r="B255">
            <v>16.017900000000001</v>
          </cell>
        </row>
        <row r="256">
          <cell r="A256" t="str">
            <v>NW3126</v>
          </cell>
          <cell r="B256">
            <v>14.775499999999999</v>
          </cell>
        </row>
        <row r="257">
          <cell r="A257" t="str">
            <v>NW3127</v>
          </cell>
          <cell r="B257">
            <v>9.2729999999999997</v>
          </cell>
        </row>
        <row r="258">
          <cell r="A258" t="str">
            <v>NW3128</v>
          </cell>
          <cell r="B258">
            <v>12.557</v>
          </cell>
        </row>
        <row r="259">
          <cell r="A259" t="str">
            <v>NW3128.S001</v>
          </cell>
          <cell r="B259">
            <v>10.1241</v>
          </cell>
        </row>
        <row r="260">
          <cell r="A260" t="str">
            <v>NW3128.S002</v>
          </cell>
          <cell r="B260">
            <v>10.1241</v>
          </cell>
        </row>
        <row r="261">
          <cell r="A261" t="str">
            <v>NW3129</v>
          </cell>
          <cell r="B261">
            <v>12.597300000000001</v>
          </cell>
        </row>
        <row r="262">
          <cell r="A262" t="str">
            <v>NW3800</v>
          </cell>
          <cell r="B262">
            <v>9.3683999999999994</v>
          </cell>
        </row>
        <row r="263">
          <cell r="A263" t="str">
            <v>NW3801</v>
          </cell>
          <cell r="B263">
            <v>5.3760000000000003</v>
          </cell>
        </row>
        <row r="264">
          <cell r="A264" t="str">
            <v>NW3802</v>
          </cell>
          <cell r="B264">
            <v>5.3871000000000002</v>
          </cell>
        </row>
        <row r="265">
          <cell r="A265" t="str">
            <v>NW3803</v>
          </cell>
          <cell r="B265">
            <v>5.6104000000000003</v>
          </cell>
        </row>
        <row r="266">
          <cell r="A266" t="str">
            <v>NW3804</v>
          </cell>
          <cell r="B266">
            <v>4.1060999999999996</v>
          </cell>
        </row>
        <row r="267">
          <cell r="A267" t="str">
            <v>NW3805</v>
          </cell>
          <cell r="B267">
            <v>4.8912000000000004</v>
          </cell>
        </row>
        <row r="268">
          <cell r="A268" t="str">
            <v>NW3806</v>
          </cell>
          <cell r="B268">
            <v>10.4123</v>
          </cell>
        </row>
        <row r="269">
          <cell r="A269" t="str">
            <v>NW3807</v>
          </cell>
          <cell r="B269">
            <v>5.7198000000000002</v>
          </cell>
        </row>
        <row r="270">
          <cell r="A270" t="str">
            <v>NW3808</v>
          </cell>
          <cell r="B270">
            <v>5.5010000000000003</v>
          </cell>
        </row>
        <row r="271">
          <cell r="A271" t="str">
            <v>NW3809</v>
          </cell>
          <cell r="B271">
            <v>5.4851000000000001</v>
          </cell>
        </row>
        <row r="272">
          <cell r="A272" t="str">
            <v>NW3810</v>
          </cell>
          <cell r="B272">
            <v>5.4983000000000004</v>
          </cell>
        </row>
        <row r="273">
          <cell r="A273" t="str">
            <v>NW3811</v>
          </cell>
          <cell r="B273">
            <v>5.1059999999999999</v>
          </cell>
        </row>
        <row r="274">
          <cell r="A274" t="str">
            <v>NW3812</v>
          </cell>
          <cell r="B274">
            <v>5.4358000000000004</v>
          </cell>
        </row>
        <row r="275">
          <cell r="A275" t="str">
            <v>NW3813</v>
          </cell>
          <cell r="B275">
            <v>5.4301000000000004</v>
          </cell>
        </row>
        <row r="276">
          <cell r="A276" t="str">
            <v>NW3814</v>
          </cell>
          <cell r="B276">
            <v>5.6555</v>
          </cell>
        </row>
        <row r="277">
          <cell r="A277" t="str">
            <v>NW3815</v>
          </cell>
          <cell r="B277">
            <v>5.6422999999999996</v>
          </cell>
        </row>
        <row r="278">
          <cell r="A278" t="str">
            <v>NW3816</v>
          </cell>
          <cell r="B278">
            <v>4.8826000000000001</v>
          </cell>
        </row>
        <row r="279">
          <cell r="A279" t="str">
            <v>NW3817</v>
          </cell>
          <cell r="B279">
            <v>6.8868999999999998</v>
          </cell>
        </row>
        <row r="280">
          <cell r="A280" t="str">
            <v>NW3818</v>
          </cell>
          <cell r="B280">
            <v>6.4699</v>
          </cell>
        </row>
        <row r="281">
          <cell r="A281" t="str">
            <v>NW3819</v>
          </cell>
          <cell r="B281">
            <v>6.5110000000000001</v>
          </cell>
        </row>
        <row r="282">
          <cell r="A282" t="str">
            <v>NW3820</v>
          </cell>
          <cell r="B282">
            <v>5.7971000000000004</v>
          </cell>
        </row>
        <row r="283">
          <cell r="A283" t="str">
            <v>NW3821</v>
          </cell>
          <cell r="B283">
            <v>5.1048999999999998</v>
          </cell>
        </row>
        <row r="284">
          <cell r="A284" t="str">
            <v>NW3822</v>
          </cell>
          <cell r="B284">
            <v>5.5738000000000003</v>
          </cell>
        </row>
        <row r="285">
          <cell r="A285" t="str">
            <v>NW3823</v>
          </cell>
          <cell r="B285">
            <v>5.1344000000000003</v>
          </cell>
        </row>
        <row r="286">
          <cell r="A286" t="str">
            <v>NW3824</v>
          </cell>
          <cell r="B286">
            <v>4.6025</v>
          </cell>
        </row>
        <row r="287">
          <cell r="A287" t="str">
            <v>NW3825</v>
          </cell>
          <cell r="B287">
            <v>5.5674999999999999</v>
          </cell>
        </row>
        <row r="288">
          <cell r="A288" t="str">
            <v>NW3826</v>
          </cell>
          <cell r="B288">
            <v>5.8571</v>
          </cell>
        </row>
        <row r="289">
          <cell r="A289" t="str">
            <v>NW3827</v>
          </cell>
          <cell r="B289">
            <v>5.8437999999999999</v>
          </cell>
        </row>
        <row r="290">
          <cell r="A290" t="str">
            <v>NW3828</v>
          </cell>
          <cell r="B290">
            <v>5.4991000000000003</v>
          </cell>
        </row>
        <row r="291">
          <cell r="A291" t="str">
            <v>NW3829</v>
          </cell>
          <cell r="B291">
            <v>5.6104000000000003</v>
          </cell>
        </row>
        <row r="292">
          <cell r="A292" t="str">
            <v>NW3830</v>
          </cell>
          <cell r="B292">
            <v>5.9661999999999997</v>
          </cell>
        </row>
        <row r="293">
          <cell r="A293" t="str">
            <v>NW3831</v>
          </cell>
          <cell r="B293">
            <v>5.6071</v>
          </cell>
        </row>
        <row r="294">
          <cell r="A294" t="str">
            <v>NW3832</v>
          </cell>
          <cell r="B294">
            <v>5.6071</v>
          </cell>
        </row>
        <row r="295">
          <cell r="A295" t="str">
            <v>NW3833</v>
          </cell>
          <cell r="B295">
            <v>5.3760000000000003</v>
          </cell>
        </row>
        <row r="296">
          <cell r="A296" t="str">
            <v>NW3834</v>
          </cell>
          <cell r="B296">
            <v>5.0720000000000001</v>
          </cell>
        </row>
        <row r="297">
          <cell r="A297" t="str">
            <v>NW3835</v>
          </cell>
          <cell r="B297">
            <v>5.3701999999999996</v>
          </cell>
        </row>
        <row r="298">
          <cell r="A298" t="str">
            <v>NW3836</v>
          </cell>
          <cell r="B298">
            <v>5.3701999999999996</v>
          </cell>
        </row>
        <row r="299">
          <cell r="A299" t="str">
            <v>NW3837</v>
          </cell>
          <cell r="B299">
            <v>5.4778000000000002</v>
          </cell>
        </row>
        <row r="300">
          <cell r="A300" t="str">
            <v>NW3838</v>
          </cell>
          <cell r="B300">
            <v>5.7287999999999997</v>
          </cell>
        </row>
        <row r="301">
          <cell r="A301" t="str">
            <v>NW3839</v>
          </cell>
          <cell r="B301">
            <v>5.3760000000000003</v>
          </cell>
        </row>
        <row r="302">
          <cell r="A302" t="str">
            <v>NW3840</v>
          </cell>
          <cell r="B302">
            <v>9.4079999999999995</v>
          </cell>
        </row>
        <row r="303">
          <cell r="A303" t="str">
            <v>NW3841</v>
          </cell>
          <cell r="B303">
            <v>5.5763999999999996</v>
          </cell>
        </row>
        <row r="304">
          <cell r="A304" t="str">
            <v>NW3842</v>
          </cell>
          <cell r="B304">
            <v>5.5885999999999996</v>
          </cell>
        </row>
        <row r="305">
          <cell r="A305" t="str">
            <v>NW3843</v>
          </cell>
          <cell r="B305">
            <v>5.4619</v>
          </cell>
        </row>
        <row r="306">
          <cell r="A306" t="str">
            <v>NW3844</v>
          </cell>
          <cell r="B306">
            <v>5.6250999999999998</v>
          </cell>
        </row>
        <row r="307">
          <cell r="A307" t="str">
            <v>NW3845</v>
          </cell>
          <cell r="B307">
            <v>7.5998999999999999</v>
          </cell>
        </row>
        <row r="308">
          <cell r="A308" t="str">
            <v>NW3846</v>
          </cell>
          <cell r="B308">
            <v>7.7561999999999998</v>
          </cell>
        </row>
        <row r="309">
          <cell r="A309" t="str">
            <v>NW3847</v>
          </cell>
          <cell r="B309">
            <v>5.6120999999999999</v>
          </cell>
        </row>
        <row r="310">
          <cell r="A310" t="str">
            <v>OGA000</v>
          </cell>
          <cell r="B310">
            <v>27.232099999999999</v>
          </cell>
        </row>
        <row r="311">
          <cell r="A311" t="str">
            <v>OGA077</v>
          </cell>
          <cell r="B311">
            <v>18.495200000000001</v>
          </cell>
        </row>
        <row r="312">
          <cell r="A312" t="str">
            <v>OGA080</v>
          </cell>
          <cell r="B312">
            <v>11.2164</v>
          </cell>
        </row>
        <row r="313">
          <cell r="A313" t="str">
            <v>OGA097</v>
          </cell>
          <cell r="B313">
            <v>20.763300000000001</v>
          </cell>
        </row>
        <row r="314">
          <cell r="A314" t="str">
            <v>OGA115</v>
          </cell>
          <cell r="B314">
            <v>12.032999999999999</v>
          </cell>
        </row>
        <row r="315">
          <cell r="A315" t="str">
            <v>OGA116</v>
          </cell>
          <cell r="B315">
            <v>12.007400000000001</v>
          </cell>
        </row>
        <row r="316">
          <cell r="A316" t="str">
            <v>OGA145</v>
          </cell>
          <cell r="B316">
            <v>11.632300000000001</v>
          </cell>
        </row>
        <row r="317">
          <cell r="A317" t="str">
            <v>OGA161</v>
          </cell>
          <cell r="B317">
            <v>22.066099999999999</v>
          </cell>
        </row>
        <row r="318">
          <cell r="A318" t="str">
            <v>OGZ036</v>
          </cell>
          <cell r="B318">
            <v>23.1325</v>
          </cell>
        </row>
        <row r="319">
          <cell r="A319" t="str">
            <v>OGZ036.L001</v>
          </cell>
          <cell r="B319">
            <v>9.1194000000000006</v>
          </cell>
        </row>
        <row r="320">
          <cell r="A320" t="str">
            <v>OGZ038</v>
          </cell>
          <cell r="B320">
            <v>5.6765999999999996</v>
          </cell>
        </row>
        <row r="321">
          <cell r="A321" t="str">
            <v>OGZ050E</v>
          </cell>
          <cell r="B321">
            <v>24.917100000000001</v>
          </cell>
        </row>
        <row r="322">
          <cell r="A322" t="str">
            <v>OGZ050W</v>
          </cell>
          <cell r="B322">
            <v>15.7043</v>
          </cell>
        </row>
        <row r="323">
          <cell r="A323" t="str">
            <v>OGZ051</v>
          </cell>
          <cell r="B323">
            <v>17.319199999999999</v>
          </cell>
        </row>
        <row r="324">
          <cell r="A324" t="str">
            <v>OGZ167M</v>
          </cell>
          <cell r="B324">
            <v>20.229199999999999</v>
          </cell>
        </row>
        <row r="325">
          <cell r="A325" t="str">
            <v>OGZ167N</v>
          </cell>
          <cell r="B325">
            <v>14.0716</v>
          </cell>
        </row>
        <row r="326">
          <cell r="A326" t="str">
            <v>OGZ167S</v>
          </cell>
          <cell r="B326">
            <v>22.5245</v>
          </cell>
        </row>
        <row r="327">
          <cell r="A327" t="str">
            <v>OGZ171</v>
          </cell>
          <cell r="B327">
            <v>11.655200000000001</v>
          </cell>
        </row>
        <row r="328">
          <cell r="A328" t="str">
            <v>OGZ270</v>
          </cell>
          <cell r="B328">
            <v>21.444900000000001</v>
          </cell>
        </row>
        <row r="329">
          <cell r="A329" t="str">
            <v>OGZ550W</v>
          </cell>
          <cell r="B329">
            <v>5.5640000000000001</v>
          </cell>
        </row>
        <row r="330">
          <cell r="A330" t="str">
            <v>SW6001</v>
          </cell>
          <cell r="B330">
            <v>11.5862</v>
          </cell>
        </row>
        <row r="331">
          <cell r="A331" t="str">
            <v>SW6002</v>
          </cell>
          <cell r="B331">
            <v>9.7194000000000003</v>
          </cell>
        </row>
        <row r="332">
          <cell r="A332" t="str">
            <v>SW6003</v>
          </cell>
          <cell r="B332">
            <v>8.0154999999999994</v>
          </cell>
        </row>
        <row r="333">
          <cell r="A333" t="str">
            <v>SW6004</v>
          </cell>
          <cell r="B333">
            <v>15.5855</v>
          </cell>
        </row>
        <row r="334">
          <cell r="A334" t="str">
            <v>SW6005</v>
          </cell>
          <cell r="B334">
            <v>11.3933</v>
          </cell>
        </row>
        <row r="335">
          <cell r="A335" t="str">
            <v>SW6006</v>
          </cell>
          <cell r="B335">
            <v>7.5514000000000001</v>
          </cell>
        </row>
        <row r="336">
          <cell r="A336" t="str">
            <v>SW6007</v>
          </cell>
          <cell r="B336">
            <v>19.547899999999998</v>
          </cell>
        </row>
        <row r="337">
          <cell r="A337" t="str">
            <v>SW6069</v>
          </cell>
          <cell r="B337">
            <v>23.1084</v>
          </cell>
        </row>
        <row r="338">
          <cell r="A338" t="str">
            <v>SW6070</v>
          </cell>
          <cell r="B338">
            <v>19.0838</v>
          </cell>
        </row>
        <row r="339">
          <cell r="A339" t="str">
            <v>SW6071</v>
          </cell>
          <cell r="B339">
            <v>15.4756</v>
          </cell>
        </row>
        <row r="340">
          <cell r="A340" t="str">
            <v>SW6072</v>
          </cell>
          <cell r="B340">
            <v>19.582799999999999</v>
          </cell>
        </row>
        <row r="341">
          <cell r="A341" t="str">
            <v>SW6073</v>
          </cell>
          <cell r="B341">
            <v>7.6700999999999997</v>
          </cell>
        </row>
        <row r="342">
          <cell r="A342" t="str">
            <v>SW6074</v>
          </cell>
          <cell r="B342">
            <v>6.3803000000000001</v>
          </cell>
        </row>
        <row r="343">
          <cell r="A343" t="str">
            <v>SW6075</v>
          </cell>
          <cell r="B343">
            <v>20.893000000000001</v>
          </cell>
        </row>
        <row r="344">
          <cell r="A344" t="str">
            <v>SW6076</v>
          </cell>
          <cell r="B344">
            <v>23.6724</v>
          </cell>
        </row>
        <row r="345">
          <cell r="A345" t="str">
            <v>SW6077</v>
          </cell>
          <cell r="B345">
            <v>9.4253999999999998</v>
          </cell>
        </row>
        <row r="346">
          <cell r="A346" t="str">
            <v>SW6078</v>
          </cell>
          <cell r="B346">
            <v>15.4138</v>
          </cell>
        </row>
        <row r="347">
          <cell r="A347" t="str">
            <v>SW6079</v>
          </cell>
          <cell r="B347">
            <v>11.318300000000001</v>
          </cell>
        </row>
        <row r="348">
          <cell r="A348" t="str">
            <v>SW6121</v>
          </cell>
          <cell r="B348">
            <v>12.4819</v>
          </cell>
        </row>
        <row r="349">
          <cell r="A349" t="str">
            <v>SW6122</v>
          </cell>
          <cell r="B349">
            <v>8.4036000000000008</v>
          </cell>
        </row>
        <row r="350">
          <cell r="A350" t="str">
            <v>SW6123</v>
          </cell>
          <cell r="B350">
            <v>6.7575000000000003</v>
          </cell>
        </row>
        <row r="351">
          <cell r="A351" t="str">
            <v>SW6124</v>
          </cell>
          <cell r="B351">
            <v>7.3970000000000002</v>
          </cell>
        </row>
        <row r="352">
          <cell r="A352" t="str">
            <v>SW6155</v>
          </cell>
          <cell r="B352">
            <v>19.085599999999999</v>
          </cell>
        </row>
        <row r="353">
          <cell r="A353" t="str">
            <v>SW6156</v>
          </cell>
          <cell r="B353">
            <v>7.9036999999999997</v>
          </cell>
        </row>
        <row r="354">
          <cell r="A354" t="str">
            <v>SW6157</v>
          </cell>
          <cell r="B354">
            <v>14.1076</v>
          </cell>
        </row>
        <row r="355">
          <cell r="A355" t="str">
            <v>SW6158</v>
          </cell>
          <cell r="B355">
            <v>8.8500999999999994</v>
          </cell>
        </row>
        <row r="356">
          <cell r="A356" t="str">
            <v>SW6700</v>
          </cell>
          <cell r="B356">
            <v>6.9283000000000001</v>
          </cell>
        </row>
        <row r="357">
          <cell r="A357" t="str">
            <v>SW6701</v>
          </cell>
          <cell r="B357">
            <v>5.5411000000000001</v>
          </cell>
        </row>
        <row r="358">
          <cell r="A358" t="str">
            <v>SW6702</v>
          </cell>
          <cell r="B358">
            <v>5.2184999999999997</v>
          </cell>
        </row>
        <row r="359">
          <cell r="A359" t="str">
            <v>SW6703</v>
          </cell>
          <cell r="B359">
            <v>5.1750999999999996</v>
          </cell>
        </row>
        <row r="360">
          <cell r="A360" t="str">
            <v>SW6704</v>
          </cell>
          <cell r="B360">
            <v>4.0724999999999998</v>
          </cell>
        </row>
        <row r="361">
          <cell r="A361" t="str">
            <v>SW6705</v>
          </cell>
          <cell r="B361">
            <v>3.9765000000000001</v>
          </cell>
        </row>
        <row r="362">
          <cell r="A362" t="str">
            <v>SW6706</v>
          </cell>
          <cell r="B362">
            <v>5.548</v>
          </cell>
        </row>
        <row r="363">
          <cell r="A363" t="str">
            <v>SW6707</v>
          </cell>
          <cell r="B363">
            <v>4.2466999999999997</v>
          </cell>
        </row>
        <row r="364">
          <cell r="A364" t="str">
            <v>SW6708</v>
          </cell>
          <cell r="B364">
            <v>3.9971999999999999</v>
          </cell>
        </row>
        <row r="365">
          <cell r="A365" t="str">
            <v>SW6709</v>
          </cell>
          <cell r="B365">
            <v>5.8174999999999999</v>
          </cell>
        </row>
        <row r="366">
          <cell r="A366" t="str">
            <v>SW6710</v>
          </cell>
          <cell r="B366">
            <v>5.3712999999999997</v>
          </cell>
        </row>
        <row r="367">
          <cell r="A367" t="str">
            <v>SW6711</v>
          </cell>
          <cell r="B367">
            <v>4.4889999999999999</v>
          </cell>
        </row>
        <row r="368">
          <cell r="A368" t="str">
            <v>SW6712</v>
          </cell>
          <cell r="B368">
            <v>4.5654000000000003</v>
          </cell>
        </row>
        <row r="369">
          <cell r="A369" t="str">
            <v>SW6713</v>
          </cell>
          <cell r="B369">
            <v>4.5654000000000003</v>
          </cell>
        </row>
        <row r="370">
          <cell r="A370" t="str">
            <v>SW6714</v>
          </cell>
          <cell r="B370">
            <v>5.758</v>
          </cell>
        </row>
        <row r="371">
          <cell r="A371" t="str">
            <v>SW6715</v>
          </cell>
          <cell r="B371">
            <v>5.758</v>
          </cell>
        </row>
        <row r="372">
          <cell r="A372" t="str">
            <v>SW6716</v>
          </cell>
          <cell r="B372">
            <v>5.4322999999999997</v>
          </cell>
        </row>
        <row r="373">
          <cell r="A373" t="str">
            <v>SW6717</v>
          </cell>
          <cell r="B373">
            <v>3.7713000000000001</v>
          </cell>
        </row>
        <row r="374">
          <cell r="A374" t="str">
            <v>SW6718</v>
          </cell>
          <cell r="B374">
            <v>5.3760000000000003</v>
          </cell>
        </row>
        <row r="375">
          <cell r="A375" t="str">
            <v>SW6719</v>
          </cell>
          <cell r="B375">
            <v>5.1352000000000002</v>
          </cell>
        </row>
        <row r="376">
          <cell r="A376" t="str">
            <v>SW6720</v>
          </cell>
          <cell r="B376">
            <v>4.6463999999999999</v>
          </cell>
        </row>
        <row r="377">
          <cell r="A377" t="str">
            <v>SW6721</v>
          </cell>
          <cell r="B377">
            <v>4.3297999999999996</v>
          </cell>
        </row>
        <row r="378">
          <cell r="A378" t="str">
            <v>SW6722</v>
          </cell>
          <cell r="B378">
            <v>4.3297999999999996</v>
          </cell>
        </row>
        <row r="379">
          <cell r="A379" t="str">
            <v>SW6723</v>
          </cell>
          <cell r="B379">
            <v>5.6219000000000001</v>
          </cell>
        </row>
        <row r="380">
          <cell r="A380" t="str">
            <v>SW6725</v>
          </cell>
          <cell r="B380">
            <v>5.5651999999999999</v>
          </cell>
        </row>
        <row r="381">
          <cell r="A381" t="str">
            <v>SW6726</v>
          </cell>
          <cell r="B381">
            <v>5.5110999999999999</v>
          </cell>
        </row>
        <row r="382">
          <cell r="A382" t="str">
            <v>SW6727</v>
          </cell>
          <cell r="B382">
            <v>5.2652000000000001</v>
          </cell>
        </row>
        <row r="383">
          <cell r="A383" t="str">
            <v>SW6728</v>
          </cell>
          <cell r="B383">
            <v>4.4200999999999997</v>
          </cell>
        </row>
        <row r="384">
          <cell r="A384" t="str">
            <v>SW6729</v>
          </cell>
          <cell r="B384">
            <v>5.4772999999999996</v>
          </cell>
        </row>
        <row r="385">
          <cell r="A385" t="str">
            <v>SW6730</v>
          </cell>
          <cell r="B385">
            <v>5.4772999999999996</v>
          </cell>
        </row>
        <row r="386">
          <cell r="A386" t="str">
            <v>SW6731</v>
          </cell>
          <cell r="B386">
            <v>5.4772999999999996</v>
          </cell>
        </row>
        <row r="387">
          <cell r="A387" t="str">
            <v>SW6732</v>
          </cell>
          <cell r="B387">
            <v>5.4772999999999996</v>
          </cell>
        </row>
        <row r="388">
          <cell r="A388" t="str">
            <v>SW6733</v>
          </cell>
          <cell r="B388">
            <v>5.4772999999999996</v>
          </cell>
        </row>
        <row r="389">
          <cell r="A389" t="str">
            <v>SW6800</v>
          </cell>
          <cell r="B389">
            <v>9.8048000000000002</v>
          </cell>
        </row>
        <row r="390">
          <cell r="A390" t="str">
            <v>SW6801</v>
          </cell>
          <cell r="B390">
            <v>6.0118</v>
          </cell>
        </row>
        <row r="391">
          <cell r="A391" t="str">
            <v>SW6802</v>
          </cell>
          <cell r="B391">
            <v>6.2137000000000002</v>
          </cell>
        </row>
        <row r="392">
          <cell r="A392" t="str">
            <v>SW6803</v>
          </cell>
          <cell r="B392">
            <v>5.9503000000000004</v>
          </cell>
        </row>
        <row r="393">
          <cell r="A393" t="str">
            <v>SW6804</v>
          </cell>
          <cell r="B393">
            <v>5.9542999999999999</v>
          </cell>
        </row>
        <row r="394">
          <cell r="A394" t="str">
            <v>SW6805</v>
          </cell>
          <cell r="B394">
            <v>5.9503000000000004</v>
          </cell>
        </row>
        <row r="395">
          <cell r="A395" t="str">
            <v>SW6806</v>
          </cell>
          <cell r="B395">
            <v>5.8135000000000003</v>
          </cell>
        </row>
        <row r="396">
          <cell r="A396" t="str">
            <v>SW6807</v>
          </cell>
          <cell r="B396">
            <v>5.9489999999999998</v>
          </cell>
        </row>
        <row r="397">
          <cell r="A397" t="str">
            <v>SW6808</v>
          </cell>
          <cell r="B397">
            <v>6.1920000000000002</v>
          </cell>
        </row>
        <row r="398">
          <cell r="A398" t="str">
            <v>SW6809</v>
          </cell>
          <cell r="B398">
            <v>5.9337</v>
          </cell>
        </row>
        <row r="399">
          <cell r="A399" t="str">
            <v>SW6810</v>
          </cell>
          <cell r="B399">
            <v>9.7894000000000005</v>
          </cell>
        </row>
        <row r="400">
          <cell r="A400" t="str">
            <v>SW6811</v>
          </cell>
          <cell r="B400">
            <v>6.0533999999999999</v>
          </cell>
        </row>
        <row r="401">
          <cell r="A401" t="str">
            <v>SW6812</v>
          </cell>
          <cell r="B401">
            <v>5.9337</v>
          </cell>
        </row>
        <row r="402">
          <cell r="A402" t="str">
            <v>SW6813</v>
          </cell>
          <cell r="B402">
            <v>5.9348999999999998</v>
          </cell>
        </row>
        <row r="403">
          <cell r="A403" t="str">
            <v>SW6814</v>
          </cell>
          <cell r="B403">
            <v>6.0312000000000001</v>
          </cell>
        </row>
        <row r="404">
          <cell r="A404" t="str">
            <v>SW6815</v>
          </cell>
          <cell r="B404">
            <v>6.0533999999999999</v>
          </cell>
        </row>
        <row r="405">
          <cell r="A405" t="str">
            <v>SW6816</v>
          </cell>
          <cell r="B405">
            <v>5.8219000000000003</v>
          </cell>
        </row>
        <row r="406">
          <cell r="A406" t="str">
            <v>SW6817</v>
          </cell>
          <cell r="B406">
            <v>6.0956000000000001</v>
          </cell>
        </row>
        <row r="407">
          <cell r="A407" t="str">
            <v>SW6818</v>
          </cell>
          <cell r="B407">
            <v>5.7409999999999997</v>
          </cell>
        </row>
        <row r="408">
          <cell r="A408" t="str">
            <v>SW6819</v>
          </cell>
          <cell r="B408">
            <v>6.2230999999999996</v>
          </cell>
        </row>
        <row r="409">
          <cell r="A409" t="str">
            <v>SW6820</v>
          </cell>
          <cell r="B409">
            <v>6.2461000000000002</v>
          </cell>
        </row>
        <row r="410">
          <cell r="A410" t="str">
            <v>SW6821</v>
          </cell>
          <cell r="B410">
            <v>5.9337</v>
          </cell>
        </row>
        <row r="411">
          <cell r="A411" t="str">
            <v>SW6822</v>
          </cell>
          <cell r="B411">
            <v>5.9337</v>
          </cell>
        </row>
        <row r="412">
          <cell r="A412" t="str">
            <v>SW6823</v>
          </cell>
          <cell r="B412">
            <v>5.7564000000000002</v>
          </cell>
        </row>
        <row r="413">
          <cell r="A413" t="str">
            <v>SW6824</v>
          </cell>
          <cell r="B413">
            <v>6.0728</v>
          </cell>
        </row>
        <row r="414">
          <cell r="A414" t="str">
            <v>SW6825</v>
          </cell>
          <cell r="B414">
            <v>6.2188999999999997</v>
          </cell>
        </row>
        <row r="415">
          <cell r="A415" t="str">
            <v>SW6826</v>
          </cell>
          <cell r="B415">
            <v>5.9337</v>
          </cell>
        </row>
        <row r="416">
          <cell r="A416" t="str">
            <v>SW6827</v>
          </cell>
          <cell r="B416">
            <v>5.9377000000000004</v>
          </cell>
        </row>
        <row r="417">
          <cell r="A417" t="str">
            <v>SW6828</v>
          </cell>
          <cell r="B417">
            <v>6.8619000000000003</v>
          </cell>
        </row>
        <row r="418">
          <cell r="A418" t="str">
            <v>SW6828.L001</v>
          </cell>
          <cell r="B418">
            <v>7.0186999999999999</v>
          </cell>
        </row>
        <row r="419">
          <cell r="A419" t="str">
            <v>SW6829</v>
          </cell>
          <cell r="B419">
            <v>9.202</v>
          </cell>
        </row>
        <row r="420">
          <cell r="A420" t="str">
            <v>SW6830</v>
          </cell>
          <cell r="B420">
            <v>5.9877000000000002</v>
          </cell>
        </row>
        <row r="421">
          <cell r="A421" t="str">
            <v>SW6831</v>
          </cell>
          <cell r="B421">
            <v>5.9222999999999999</v>
          </cell>
        </row>
        <row r="422">
          <cell r="A422" t="str">
            <v>SW6832</v>
          </cell>
          <cell r="B422">
            <v>6.1124000000000001</v>
          </cell>
        </row>
        <row r="423">
          <cell r="A423" t="str">
            <v>SW6833</v>
          </cell>
          <cell r="B423">
            <v>6.1424000000000003</v>
          </cell>
        </row>
        <row r="424">
          <cell r="A424" t="str">
            <v>SW6834</v>
          </cell>
          <cell r="B424">
            <v>5.9542999999999999</v>
          </cell>
        </row>
        <row r="425">
          <cell r="A425" t="str">
            <v>SW6835</v>
          </cell>
          <cell r="B425">
            <v>6.2233999999999998</v>
          </cell>
        </row>
        <row r="426">
          <cell r="A426" t="str">
            <v>SW6900</v>
          </cell>
          <cell r="B426">
            <v>7.3127000000000004</v>
          </cell>
        </row>
        <row r="427">
          <cell r="A427" t="str">
            <v>SW6901</v>
          </cell>
          <cell r="B427">
            <v>5.3213999999999997</v>
          </cell>
        </row>
        <row r="428">
          <cell r="A428" t="str">
            <v>SW6902</v>
          </cell>
          <cell r="B428">
            <v>4.4433999999999996</v>
          </cell>
        </row>
        <row r="429">
          <cell r="A429" t="str">
            <v>SW6903</v>
          </cell>
          <cell r="B429">
            <v>4.2343000000000002</v>
          </cell>
        </row>
        <row r="430">
          <cell r="A430" t="str">
            <v>SW6904</v>
          </cell>
          <cell r="B430">
            <v>4.1877000000000004</v>
          </cell>
        </row>
        <row r="431">
          <cell r="A431" t="str">
            <v>SW6905</v>
          </cell>
          <cell r="B431">
            <v>4.2343000000000002</v>
          </cell>
        </row>
        <row r="432">
          <cell r="A432" t="str">
            <v>SW6906</v>
          </cell>
          <cell r="B432">
            <v>4.0548999999999999</v>
          </cell>
        </row>
        <row r="433">
          <cell r="A433" t="str">
            <v>SW6907</v>
          </cell>
          <cell r="B433">
            <v>5.1025</v>
          </cell>
        </row>
        <row r="434">
          <cell r="A434" t="str">
            <v>SW6908</v>
          </cell>
          <cell r="B434">
            <v>4.4398999999999997</v>
          </cell>
        </row>
        <row r="435">
          <cell r="A435" t="str">
            <v>SW6910</v>
          </cell>
          <cell r="B435">
            <v>5.1516000000000002</v>
          </cell>
        </row>
        <row r="436">
          <cell r="A436" t="str">
            <v>SW6911</v>
          </cell>
          <cell r="B436">
            <v>5.0187999999999997</v>
          </cell>
        </row>
        <row r="437">
          <cell r="A437" t="str">
            <v>SW6912</v>
          </cell>
          <cell r="B437">
            <v>5.3136000000000001</v>
          </cell>
        </row>
        <row r="438">
          <cell r="A438" t="str">
            <v>SW6913</v>
          </cell>
          <cell r="B438">
            <v>5.2304000000000004</v>
          </cell>
        </row>
        <row r="439">
          <cell r="A439" t="str">
            <v>SW6914</v>
          </cell>
          <cell r="B439">
            <v>5.1097000000000001</v>
          </cell>
        </row>
        <row r="440">
          <cell r="A440" t="str">
            <v>SW6915</v>
          </cell>
          <cell r="B440">
            <v>5.0237999999999996</v>
          </cell>
        </row>
        <row r="441">
          <cell r="A441" t="str">
            <v>SW6916</v>
          </cell>
          <cell r="B441">
            <v>5.2502000000000004</v>
          </cell>
        </row>
        <row r="442">
          <cell r="A442" t="str">
            <v>SW6917</v>
          </cell>
          <cell r="B442">
            <v>7.0410000000000004</v>
          </cell>
        </row>
        <row r="443">
          <cell r="A443" t="str">
            <v>SW6918</v>
          </cell>
          <cell r="B443">
            <v>5.5693999999999999</v>
          </cell>
        </row>
        <row r="444">
          <cell r="A444" t="str">
            <v>SW6919</v>
          </cell>
          <cell r="B444">
            <v>5.1097000000000001</v>
          </cell>
        </row>
        <row r="445">
          <cell r="A445" t="str">
            <v>SW6920</v>
          </cell>
          <cell r="B445">
            <v>5.1097000000000001</v>
          </cell>
        </row>
        <row r="446">
          <cell r="A446" t="str">
            <v>SW6921</v>
          </cell>
          <cell r="B446">
            <v>5.0187999999999997</v>
          </cell>
        </row>
        <row r="447">
          <cell r="A447" t="str">
            <v>SW6922</v>
          </cell>
          <cell r="B447">
            <v>5.1516000000000002</v>
          </cell>
        </row>
        <row r="448">
          <cell r="A448" t="str">
            <v>SW6923</v>
          </cell>
          <cell r="B448">
            <v>5.6135999999999999</v>
          </cell>
        </row>
        <row r="449">
          <cell r="A449" t="str">
            <v>SW6924</v>
          </cell>
          <cell r="B449">
            <v>5.2746000000000004</v>
          </cell>
        </row>
        <row r="450">
          <cell r="A450" t="str">
            <v>SW6925</v>
          </cell>
          <cell r="B450">
            <v>5.0237999999999996</v>
          </cell>
        </row>
        <row r="451">
          <cell r="A451" t="str">
            <v>SW6926</v>
          </cell>
          <cell r="B451">
            <v>5.1174999999999997</v>
          </cell>
        </row>
        <row r="452">
          <cell r="A452" t="str">
            <v>SW6927</v>
          </cell>
          <cell r="B452">
            <v>7.1193999999999997</v>
          </cell>
        </row>
        <row r="453">
          <cell r="A453" t="str">
            <v>SW6928</v>
          </cell>
          <cell r="B453">
            <v>5.0187999999999997</v>
          </cell>
        </row>
        <row r="454">
          <cell r="A454" t="str">
            <v>SW6929</v>
          </cell>
          <cell r="B454">
            <v>5.0187999999999997</v>
          </cell>
        </row>
        <row r="455">
          <cell r="A455" t="str">
            <v>SW6930</v>
          </cell>
          <cell r="B455">
            <v>5.0713999999999997</v>
          </cell>
        </row>
        <row r="456">
          <cell r="A456" t="str">
            <v>SW6931</v>
          </cell>
          <cell r="B456">
            <v>3.9584999999999999</v>
          </cell>
        </row>
        <row r="457">
          <cell r="A457" t="str">
            <v>SW6932</v>
          </cell>
          <cell r="B457">
            <v>5.1174999999999997</v>
          </cell>
        </row>
        <row r="458">
          <cell r="A458" t="str">
            <v>SW6933</v>
          </cell>
          <cell r="B458">
            <v>7.0342000000000002</v>
          </cell>
        </row>
        <row r="459">
          <cell r="A459" t="str">
            <v>SW6934</v>
          </cell>
          <cell r="B459">
            <v>5.3537999999999997</v>
          </cell>
        </row>
        <row r="460">
          <cell r="A460" t="str">
            <v>SW6935</v>
          </cell>
          <cell r="B460">
            <v>5.0237999999999996</v>
          </cell>
        </row>
        <row r="461">
          <cell r="A461" t="str">
            <v>SW6936</v>
          </cell>
          <cell r="B461">
            <v>5.4463999999999997</v>
          </cell>
        </row>
        <row r="462">
          <cell r="A462" t="str">
            <v>SW6937</v>
          </cell>
          <cell r="B462">
            <v>5.3136000000000001</v>
          </cell>
        </row>
        <row r="463">
          <cell r="A463" t="str">
            <v>SW6938</v>
          </cell>
          <cell r="B463">
            <v>4.8860999999999999</v>
          </cell>
        </row>
        <row r="464">
          <cell r="A464" t="str">
            <v>SW6939</v>
          </cell>
          <cell r="B464">
            <v>5.3602999999999996</v>
          </cell>
        </row>
        <row r="465">
          <cell r="A465" t="str">
            <v>SW6940</v>
          </cell>
          <cell r="B465">
            <v>5.0266000000000002</v>
          </cell>
        </row>
        <row r="466">
          <cell r="A466" t="str">
            <v>SW6941</v>
          </cell>
          <cell r="B466">
            <v>5.3262</v>
          </cell>
        </row>
        <row r="467">
          <cell r="A467" t="str">
            <v>SW6942</v>
          </cell>
          <cell r="B467">
            <v>5.383</v>
          </cell>
        </row>
      </sheetData>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GE"/>
      <sheetName val="SUMMARY CALC"/>
      <sheetName val="PIS AFUDC PIVOT"/>
      <sheetName val="Bucket"/>
      <sheetName val="PIS AFUDC"/>
      <sheetName val="CHARGE PIVOT"/>
      <sheetName val="Charges"/>
      <sheetName val="AFUDC Rates"/>
      <sheetName val="WO Select Query"/>
      <sheetName val="WO Select Pivot"/>
      <sheetName val="Press Release"/>
      <sheetName val="Procedures"/>
      <sheetName val="Summary for Projection"/>
    </sheetNames>
    <sheetDataSet>
      <sheetData sheetId="0"/>
      <sheetData sheetId="1"/>
      <sheetData sheetId="2"/>
      <sheetData sheetId="3"/>
      <sheetData sheetId="4"/>
      <sheetData sheetId="5">
        <row r="5">
          <cell r="B5" t="str">
            <v>07585751703</v>
          </cell>
          <cell r="C5">
            <v>30165.439999999995</v>
          </cell>
          <cell r="D5">
            <v>0</v>
          </cell>
        </row>
        <row r="6">
          <cell r="B6" t="str">
            <v>06585451801</v>
          </cell>
          <cell r="C6">
            <v>385764.89999999997</v>
          </cell>
          <cell r="D6">
            <v>0</v>
          </cell>
        </row>
        <row r="7">
          <cell r="B7" t="str">
            <v>06585461029</v>
          </cell>
          <cell r="C7">
            <v>204588.57</v>
          </cell>
          <cell r="D7">
            <v>0</v>
          </cell>
        </row>
        <row r="8">
          <cell r="B8" t="str">
            <v>06585551014</v>
          </cell>
          <cell r="C8">
            <v>109210.78</v>
          </cell>
          <cell r="D8">
            <v>0</v>
          </cell>
        </row>
        <row r="9">
          <cell r="B9" t="str">
            <v>06585751702</v>
          </cell>
          <cell r="C9">
            <v>263198.01</v>
          </cell>
          <cell r="D9">
            <v>0</v>
          </cell>
        </row>
        <row r="10">
          <cell r="B10" t="str">
            <v>07585452800</v>
          </cell>
          <cell r="C10">
            <v>373773.60000000009</v>
          </cell>
          <cell r="D10">
            <v>0</v>
          </cell>
        </row>
        <row r="11">
          <cell r="B11" t="str">
            <v>07585452801</v>
          </cell>
          <cell r="C11">
            <v>223169.95999999996</v>
          </cell>
          <cell r="D11">
            <v>0</v>
          </cell>
        </row>
        <row r="12">
          <cell r="B12" t="str">
            <v>07585452802</v>
          </cell>
          <cell r="C12">
            <v>155752.85999999999</v>
          </cell>
          <cell r="D12">
            <v>0</v>
          </cell>
        </row>
        <row r="13">
          <cell r="B13" t="str">
            <v>07585452803</v>
          </cell>
          <cell r="C13">
            <v>203041.55000000005</v>
          </cell>
          <cell r="D13">
            <v>0</v>
          </cell>
        </row>
        <row r="14">
          <cell r="B14" t="str">
            <v>07585752700</v>
          </cell>
          <cell r="C14">
            <v>224199.06</v>
          </cell>
          <cell r="D14">
            <v>0</v>
          </cell>
        </row>
        <row r="15">
          <cell r="B15" t="str">
            <v>08585452804</v>
          </cell>
          <cell r="C15">
            <v>1352899.53</v>
          </cell>
          <cell r="D15">
            <v>0</v>
          </cell>
        </row>
        <row r="16">
          <cell r="B16" t="str">
            <v>08585452806</v>
          </cell>
          <cell r="C16">
            <v>293229.81000000006</v>
          </cell>
          <cell r="D16">
            <v>0</v>
          </cell>
        </row>
        <row r="17">
          <cell r="B17" t="str">
            <v>08585452808</v>
          </cell>
          <cell r="C17">
            <v>-1.8252843680954811E-11</v>
          </cell>
          <cell r="D17">
            <v>0</v>
          </cell>
        </row>
        <row r="18">
          <cell r="B18" t="str">
            <v>08585552700</v>
          </cell>
          <cell r="C18">
            <v>54970.80999999999</v>
          </cell>
          <cell r="D18">
            <v>0</v>
          </cell>
        </row>
        <row r="19">
          <cell r="B19" t="str">
            <v>08585552701</v>
          </cell>
          <cell r="C19">
            <v>549496.19000000006</v>
          </cell>
          <cell r="D19">
            <v>0</v>
          </cell>
        </row>
        <row r="20">
          <cell r="B20" t="str">
            <v>08585552703</v>
          </cell>
          <cell r="C20">
            <v>155961.65</v>
          </cell>
          <cell r="D20">
            <v>0</v>
          </cell>
        </row>
        <row r="21">
          <cell r="B21" t="str">
            <v>08585752701</v>
          </cell>
          <cell r="C21">
            <v>72372.44</v>
          </cell>
          <cell r="D21">
            <v>0</v>
          </cell>
        </row>
        <row r="22">
          <cell r="B22" t="str">
            <v>08585752702</v>
          </cell>
          <cell r="C22">
            <v>316955.17000000004</v>
          </cell>
          <cell r="D22">
            <v>0</v>
          </cell>
        </row>
        <row r="23">
          <cell r="B23" t="str">
            <v>08585752703</v>
          </cell>
          <cell r="C23">
            <v>275572.19999999995</v>
          </cell>
          <cell r="D23">
            <v>0</v>
          </cell>
        </row>
        <row r="24">
          <cell r="B24" t="str">
            <v>08585752706</v>
          </cell>
          <cell r="C24">
            <v>427994.7300000001</v>
          </cell>
          <cell r="D24">
            <v>0</v>
          </cell>
        </row>
        <row r="25">
          <cell r="B25" t="str">
            <v>08585752707</v>
          </cell>
          <cell r="C25">
            <v>856701.07999999984</v>
          </cell>
          <cell r="D25">
            <v>0</v>
          </cell>
        </row>
        <row r="26">
          <cell r="B26" t="str">
            <v>08585752708</v>
          </cell>
          <cell r="C26">
            <v>479012.87</v>
          </cell>
          <cell r="D26">
            <v>0</v>
          </cell>
        </row>
        <row r="27">
          <cell r="B27" t="str">
            <v>09585752525</v>
          </cell>
          <cell r="C27">
            <v>224091.47</v>
          </cell>
          <cell r="D27">
            <v>0</v>
          </cell>
        </row>
        <row r="28">
          <cell r="B28" t="str">
            <v>09585752526</v>
          </cell>
          <cell r="C28">
            <v>443674.67000000004</v>
          </cell>
          <cell r="D28">
            <v>0</v>
          </cell>
        </row>
        <row r="29">
          <cell r="B29" t="str">
            <v>10585501052011</v>
          </cell>
          <cell r="C29">
            <v>309815.29999999993</v>
          </cell>
          <cell r="D29">
            <v>0</v>
          </cell>
        </row>
        <row r="30">
          <cell r="B30" t="str">
            <v>09585452527</v>
          </cell>
          <cell r="C30">
            <v>640689.92000000004</v>
          </cell>
          <cell r="D30">
            <v>0</v>
          </cell>
        </row>
        <row r="31">
          <cell r="B31" t="str">
            <v>09585701052525</v>
          </cell>
          <cell r="C31">
            <v>324158.38999999996</v>
          </cell>
          <cell r="D31">
            <v>0</v>
          </cell>
        </row>
        <row r="32">
          <cell r="B32" t="str">
            <v>10585701052212</v>
          </cell>
          <cell r="C32">
            <v>3774579.82</v>
          </cell>
          <cell r="D32">
            <v>0</v>
          </cell>
        </row>
        <row r="33">
          <cell r="B33" t="str">
            <v>11585401052214</v>
          </cell>
          <cell r="C33">
            <v>334650.34999999998</v>
          </cell>
          <cell r="D33">
            <v>0</v>
          </cell>
        </row>
        <row r="34">
          <cell r="B34" t="str">
            <v>09585701052528</v>
          </cell>
          <cell r="C34">
            <v>932974.52</v>
          </cell>
          <cell r="D34">
            <v>0</v>
          </cell>
        </row>
        <row r="35">
          <cell r="B35" t="str">
            <v>11585401052210</v>
          </cell>
          <cell r="C35">
            <v>285663.16000000015</v>
          </cell>
          <cell r="D35">
            <v>0</v>
          </cell>
        </row>
        <row r="36">
          <cell r="B36" t="str">
            <v>11585401052213</v>
          </cell>
          <cell r="C36">
            <v>262356.7</v>
          </cell>
          <cell r="D36">
            <v>0</v>
          </cell>
        </row>
        <row r="37">
          <cell r="B37" t="str">
            <v>11585401052212</v>
          </cell>
          <cell r="C37">
            <v>267078.21000000002</v>
          </cell>
          <cell r="D37">
            <v>0</v>
          </cell>
        </row>
        <row r="38">
          <cell r="B38" t="str">
            <v>09585701052526</v>
          </cell>
          <cell r="C38">
            <v>139800.86000000002</v>
          </cell>
          <cell r="D38">
            <v>0</v>
          </cell>
        </row>
        <row r="39">
          <cell r="B39" t="str">
            <v>12585701052216</v>
          </cell>
          <cell r="C39">
            <v>61267.909999999996</v>
          </cell>
          <cell r="D39">
            <v>0</v>
          </cell>
        </row>
        <row r="40">
          <cell r="B40" t="str">
            <v>08585452807</v>
          </cell>
          <cell r="C40">
            <v>281803.71000000002</v>
          </cell>
          <cell r="D40">
            <v>0</v>
          </cell>
        </row>
        <row r="41">
          <cell r="B41" t="str">
            <v>11585501052210</v>
          </cell>
          <cell r="C41">
            <v>444442.57999999996</v>
          </cell>
          <cell r="D41">
            <v>0</v>
          </cell>
        </row>
        <row r="42">
          <cell r="B42" t="str">
            <v>12585701052217</v>
          </cell>
          <cell r="C42">
            <v>420204.35000000003</v>
          </cell>
          <cell r="D42">
            <v>0</v>
          </cell>
        </row>
        <row r="43">
          <cell r="B43" t="str">
            <v>12585701052215</v>
          </cell>
          <cell r="C43">
            <v>71864.589999999953</v>
          </cell>
          <cell r="D43">
            <v>0</v>
          </cell>
        </row>
        <row r="44">
          <cell r="B44" t="str">
            <v>12585701052214</v>
          </cell>
          <cell r="C44">
            <v>847009.71</v>
          </cell>
          <cell r="D44">
            <v>0</v>
          </cell>
        </row>
        <row r="45">
          <cell r="B45" t="str">
            <v>12585401052213</v>
          </cell>
          <cell r="C45">
            <v>607160.66000000015</v>
          </cell>
          <cell r="D45">
            <v>0</v>
          </cell>
        </row>
        <row r="46">
          <cell r="B46" t="str">
            <v>12585401052212</v>
          </cell>
          <cell r="C46">
            <v>389122.42000000004</v>
          </cell>
          <cell r="D46">
            <v>160.92999999999998</v>
          </cell>
        </row>
        <row r="47">
          <cell r="B47" t="str">
            <v>12585401052214</v>
          </cell>
          <cell r="C47">
            <v>188512.04000000004</v>
          </cell>
          <cell r="D47">
            <v>0</v>
          </cell>
        </row>
        <row r="48">
          <cell r="B48" t="str">
            <v>13585701052210</v>
          </cell>
          <cell r="C48">
            <v>409948.72</v>
          </cell>
          <cell r="D48">
            <v>8438.9600000000009</v>
          </cell>
        </row>
        <row r="49">
          <cell r="B49" t="str">
            <v>13585401052217</v>
          </cell>
          <cell r="C49">
            <v>64549.060000000005</v>
          </cell>
          <cell r="D49">
            <v>4756.7700000000004</v>
          </cell>
        </row>
        <row r="50">
          <cell r="B50" t="str">
            <v>12585701052212</v>
          </cell>
          <cell r="C50">
            <v>101810.97</v>
          </cell>
          <cell r="D50">
            <v>88670.150000000009</v>
          </cell>
        </row>
        <row r="51">
          <cell r="B51" t="str">
            <v>12585701052213</v>
          </cell>
          <cell r="C51">
            <v>105539.06</v>
          </cell>
          <cell r="D51">
            <v>215820.99000000002</v>
          </cell>
        </row>
        <row r="52">
          <cell r="B52" t="str">
            <v>13585401052210</v>
          </cell>
          <cell r="C52">
            <v>200499.56000000003</v>
          </cell>
          <cell r="D52">
            <v>242764.61</v>
          </cell>
        </row>
        <row r="53">
          <cell r="B53" t="str">
            <v>12585401052216</v>
          </cell>
          <cell r="C53">
            <v>482.16999999999996</v>
          </cell>
          <cell r="D53">
            <v>3.15</v>
          </cell>
        </row>
        <row r="54">
          <cell r="B54" t="str">
            <v>12585701052220</v>
          </cell>
          <cell r="C54">
            <v>7898.87</v>
          </cell>
          <cell r="D54">
            <v>51.96</v>
          </cell>
        </row>
        <row r="55">
          <cell r="B55" t="str">
            <v>12585401052215</v>
          </cell>
          <cell r="C55">
            <v>32041.91</v>
          </cell>
          <cell r="D55">
            <v>64710.14</v>
          </cell>
        </row>
        <row r="56">
          <cell r="B56" t="str">
            <v>12585701052219</v>
          </cell>
          <cell r="C56">
            <v>2341</v>
          </cell>
          <cell r="D56">
            <v>15.400000000000002</v>
          </cell>
        </row>
        <row r="57">
          <cell r="B57" t="str">
            <v>13585701052212</v>
          </cell>
          <cell r="C57">
            <v>5363.78</v>
          </cell>
          <cell r="D57">
            <v>5678.18</v>
          </cell>
        </row>
        <row r="58">
          <cell r="B58" t="str">
            <v>14585501052210</v>
          </cell>
          <cell r="C58">
            <v>0</v>
          </cell>
          <cell r="D58">
            <v>33626.049999999996</v>
          </cell>
        </row>
        <row r="59">
          <cell r="B59" t="str">
            <v>12585501052214</v>
          </cell>
          <cell r="C59">
            <v>0</v>
          </cell>
          <cell r="D59">
            <v>18998.580000000002</v>
          </cell>
        </row>
        <row r="60">
          <cell r="B60" t="str">
            <v>12585701052223</v>
          </cell>
          <cell r="C60">
            <v>0</v>
          </cell>
          <cell r="D60">
            <v>5949.48</v>
          </cell>
        </row>
        <row r="61">
          <cell r="C61">
            <v>19189427.650000002</v>
          </cell>
          <cell r="D61">
            <v>689645.35000000009</v>
          </cell>
        </row>
      </sheetData>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GE"/>
      <sheetName val="SUMMARY CALC"/>
      <sheetName val="PIS AFUDC PIVOT"/>
      <sheetName val="Bucket"/>
      <sheetName val="PIS AFUDC"/>
      <sheetName val="CHARGE PIVOT"/>
      <sheetName val="Charges"/>
      <sheetName val="AFUDC Rates"/>
      <sheetName val="WO Select Query"/>
      <sheetName val="WO Select Pivot"/>
      <sheetName val="Press Release"/>
      <sheetName val="Procedures"/>
      <sheetName val="Summary for Projection"/>
    </sheetNames>
    <sheetDataSet>
      <sheetData sheetId="0"/>
      <sheetData sheetId="1"/>
      <sheetData sheetId="2"/>
      <sheetData sheetId="3"/>
      <sheetData sheetId="4"/>
      <sheetData sheetId="5">
        <row r="5">
          <cell r="B5" t="str">
            <v>07585751703</v>
          </cell>
          <cell r="C5">
            <v>30165.439999999995</v>
          </cell>
          <cell r="D5">
            <v>0</v>
          </cell>
        </row>
        <row r="6">
          <cell r="B6" t="str">
            <v>06585451801</v>
          </cell>
          <cell r="C6">
            <v>385764.89999999997</v>
          </cell>
          <cell r="D6">
            <v>0</v>
          </cell>
        </row>
        <row r="7">
          <cell r="B7" t="str">
            <v>06585461029</v>
          </cell>
          <cell r="C7">
            <v>204588.57</v>
          </cell>
          <cell r="D7">
            <v>0</v>
          </cell>
        </row>
        <row r="8">
          <cell r="B8" t="str">
            <v>06585551014</v>
          </cell>
          <cell r="C8">
            <v>109210.78</v>
          </cell>
          <cell r="D8">
            <v>0</v>
          </cell>
        </row>
        <row r="9">
          <cell r="B9" t="str">
            <v>06585751702</v>
          </cell>
          <cell r="C9">
            <v>263198.01</v>
          </cell>
          <cell r="D9">
            <v>0</v>
          </cell>
        </row>
        <row r="10">
          <cell r="B10" t="str">
            <v>07585452800</v>
          </cell>
          <cell r="C10">
            <v>373773.60000000009</v>
          </cell>
          <cell r="D10">
            <v>0</v>
          </cell>
        </row>
        <row r="11">
          <cell r="B11" t="str">
            <v>07585452801</v>
          </cell>
          <cell r="C11">
            <v>223169.95999999996</v>
          </cell>
          <cell r="D11">
            <v>0</v>
          </cell>
        </row>
        <row r="12">
          <cell r="B12" t="str">
            <v>07585452802</v>
          </cell>
          <cell r="C12">
            <v>155752.85999999999</v>
          </cell>
          <cell r="D12">
            <v>0</v>
          </cell>
        </row>
        <row r="13">
          <cell r="B13" t="str">
            <v>07585452803</v>
          </cell>
          <cell r="C13">
            <v>203041.55000000005</v>
          </cell>
          <cell r="D13">
            <v>0</v>
          </cell>
        </row>
        <row r="14">
          <cell r="B14" t="str">
            <v>07585752700</v>
          </cell>
          <cell r="C14">
            <v>224199.06</v>
          </cell>
          <cell r="D14">
            <v>0</v>
          </cell>
        </row>
        <row r="15">
          <cell r="B15" t="str">
            <v>08585452804</v>
          </cell>
          <cell r="C15">
            <v>1352899.53</v>
          </cell>
          <cell r="D15">
            <v>0</v>
          </cell>
        </row>
        <row r="16">
          <cell r="B16" t="str">
            <v>08585452806</v>
          </cell>
          <cell r="C16">
            <v>293229.81000000006</v>
          </cell>
          <cell r="D16">
            <v>0</v>
          </cell>
        </row>
        <row r="17">
          <cell r="B17" t="str">
            <v>08585452808</v>
          </cell>
          <cell r="C17">
            <v>-1.8252843680954811E-11</v>
          </cell>
          <cell r="D17">
            <v>0</v>
          </cell>
        </row>
        <row r="18">
          <cell r="B18" t="str">
            <v>08585552700</v>
          </cell>
          <cell r="C18">
            <v>54970.80999999999</v>
          </cell>
          <cell r="D18">
            <v>0</v>
          </cell>
        </row>
        <row r="19">
          <cell r="B19" t="str">
            <v>08585552701</v>
          </cell>
          <cell r="C19">
            <v>549496.19000000006</v>
          </cell>
          <cell r="D19">
            <v>0</v>
          </cell>
        </row>
        <row r="20">
          <cell r="B20" t="str">
            <v>08585552703</v>
          </cell>
          <cell r="C20">
            <v>155961.65</v>
          </cell>
          <cell r="D20">
            <v>0</v>
          </cell>
        </row>
        <row r="21">
          <cell r="B21" t="str">
            <v>08585752701</v>
          </cell>
          <cell r="C21">
            <v>72372.44</v>
          </cell>
          <cell r="D21">
            <v>0</v>
          </cell>
        </row>
        <row r="22">
          <cell r="B22" t="str">
            <v>08585752702</v>
          </cell>
          <cell r="C22">
            <v>316955.17000000004</v>
          </cell>
          <cell r="D22">
            <v>0</v>
          </cell>
        </row>
        <row r="23">
          <cell r="B23" t="str">
            <v>08585752703</v>
          </cell>
          <cell r="C23">
            <v>275572.19999999995</v>
          </cell>
          <cell r="D23">
            <v>0</v>
          </cell>
        </row>
        <row r="24">
          <cell r="B24" t="str">
            <v>08585752706</v>
          </cell>
          <cell r="C24">
            <v>427994.7300000001</v>
          </cell>
          <cell r="D24">
            <v>0</v>
          </cell>
        </row>
        <row r="25">
          <cell r="B25" t="str">
            <v>08585752707</v>
          </cell>
          <cell r="C25">
            <v>856701.07999999984</v>
          </cell>
          <cell r="D25">
            <v>0</v>
          </cell>
        </row>
        <row r="26">
          <cell r="B26" t="str">
            <v>08585752708</v>
          </cell>
          <cell r="C26">
            <v>479012.87</v>
          </cell>
          <cell r="D26">
            <v>0</v>
          </cell>
        </row>
        <row r="27">
          <cell r="B27" t="str">
            <v>09585752525</v>
          </cell>
          <cell r="C27">
            <v>224091.47</v>
          </cell>
          <cell r="D27">
            <v>0</v>
          </cell>
        </row>
        <row r="28">
          <cell r="B28" t="str">
            <v>09585752526</v>
          </cell>
          <cell r="C28">
            <v>443674.67000000004</v>
          </cell>
          <cell r="D28">
            <v>0</v>
          </cell>
        </row>
        <row r="29">
          <cell r="B29" t="str">
            <v>10585501052011</v>
          </cell>
          <cell r="C29">
            <v>309815.29999999993</v>
          </cell>
          <cell r="D29">
            <v>0</v>
          </cell>
        </row>
        <row r="30">
          <cell r="B30" t="str">
            <v>09585452527</v>
          </cell>
          <cell r="C30">
            <v>640689.92000000004</v>
          </cell>
          <cell r="D30">
            <v>0</v>
          </cell>
        </row>
        <row r="31">
          <cell r="B31" t="str">
            <v>09585701052525</v>
          </cell>
          <cell r="C31">
            <v>324158.38999999996</v>
          </cell>
          <cell r="D31">
            <v>0</v>
          </cell>
        </row>
        <row r="32">
          <cell r="B32" t="str">
            <v>10585701052212</v>
          </cell>
          <cell r="C32">
            <v>3774579.82</v>
          </cell>
          <cell r="D32">
            <v>0</v>
          </cell>
        </row>
        <row r="33">
          <cell r="B33" t="str">
            <v>11585401052214</v>
          </cell>
          <cell r="C33">
            <v>334650.34999999998</v>
          </cell>
          <cell r="D33">
            <v>0</v>
          </cell>
        </row>
        <row r="34">
          <cell r="B34" t="str">
            <v>09585701052528</v>
          </cell>
          <cell r="C34">
            <v>932974.52</v>
          </cell>
          <cell r="D34">
            <v>0</v>
          </cell>
        </row>
        <row r="35">
          <cell r="B35" t="str">
            <v>11585401052210</v>
          </cell>
          <cell r="C35">
            <v>285663.16000000015</v>
          </cell>
          <cell r="D35">
            <v>0</v>
          </cell>
        </row>
        <row r="36">
          <cell r="B36" t="str">
            <v>11585401052213</v>
          </cell>
          <cell r="C36">
            <v>262356.7</v>
          </cell>
          <cell r="D36">
            <v>0</v>
          </cell>
        </row>
        <row r="37">
          <cell r="B37" t="str">
            <v>11585401052212</v>
          </cell>
          <cell r="C37">
            <v>267078.21000000002</v>
          </cell>
          <cell r="D37">
            <v>0</v>
          </cell>
        </row>
        <row r="38">
          <cell r="B38" t="str">
            <v>09585701052526</v>
          </cell>
          <cell r="C38">
            <v>139800.86000000002</v>
          </cell>
          <cell r="D38">
            <v>0</v>
          </cell>
        </row>
        <row r="39">
          <cell r="B39" t="str">
            <v>12585701052216</v>
          </cell>
          <cell r="C39">
            <v>61267.909999999996</v>
          </cell>
          <cell r="D39">
            <v>0</v>
          </cell>
        </row>
        <row r="40">
          <cell r="B40" t="str">
            <v>08585452807</v>
          </cell>
          <cell r="C40">
            <v>281803.71000000002</v>
          </cell>
          <cell r="D40">
            <v>0</v>
          </cell>
        </row>
        <row r="41">
          <cell r="B41" t="str">
            <v>11585501052210</v>
          </cell>
          <cell r="C41">
            <v>444442.57999999996</v>
          </cell>
          <cell r="D41">
            <v>0</v>
          </cell>
        </row>
        <row r="42">
          <cell r="B42" t="str">
            <v>12585701052217</v>
          </cell>
          <cell r="C42">
            <v>420204.35000000003</v>
          </cell>
          <cell r="D42">
            <v>0</v>
          </cell>
        </row>
        <row r="43">
          <cell r="B43" t="str">
            <v>12585701052215</v>
          </cell>
          <cell r="C43">
            <v>71864.589999999953</v>
          </cell>
          <cell r="D43">
            <v>0</v>
          </cell>
        </row>
        <row r="44">
          <cell r="B44" t="str">
            <v>12585701052214</v>
          </cell>
          <cell r="C44">
            <v>847009.71</v>
          </cell>
          <cell r="D44">
            <v>0</v>
          </cell>
        </row>
        <row r="45">
          <cell r="B45" t="str">
            <v>12585401052213</v>
          </cell>
          <cell r="C45">
            <v>607160.66000000015</v>
          </cell>
          <cell r="D45">
            <v>0</v>
          </cell>
        </row>
        <row r="46">
          <cell r="B46" t="str">
            <v>12585401052212</v>
          </cell>
          <cell r="C46">
            <v>389122.42000000004</v>
          </cell>
          <cell r="D46">
            <v>160.92999999999998</v>
          </cell>
        </row>
        <row r="47">
          <cell r="B47" t="str">
            <v>12585401052214</v>
          </cell>
          <cell r="C47">
            <v>188512.04000000004</v>
          </cell>
          <cell r="D47">
            <v>0</v>
          </cell>
        </row>
        <row r="48">
          <cell r="B48" t="str">
            <v>13585701052210</v>
          </cell>
          <cell r="C48">
            <v>409948.72</v>
          </cell>
          <cell r="D48">
            <v>8438.9600000000009</v>
          </cell>
        </row>
        <row r="49">
          <cell r="B49" t="str">
            <v>13585401052217</v>
          </cell>
          <cell r="C49">
            <v>64549.060000000005</v>
          </cell>
          <cell r="D49">
            <v>4756.7700000000004</v>
          </cell>
        </row>
        <row r="50">
          <cell r="B50" t="str">
            <v>12585701052212</v>
          </cell>
          <cell r="C50">
            <v>101810.97</v>
          </cell>
          <cell r="D50">
            <v>88670.150000000009</v>
          </cell>
        </row>
        <row r="51">
          <cell r="B51" t="str">
            <v>12585701052213</v>
          </cell>
          <cell r="C51">
            <v>105539.06</v>
          </cell>
          <cell r="D51">
            <v>215820.99000000002</v>
          </cell>
        </row>
        <row r="52">
          <cell r="B52" t="str">
            <v>13585401052210</v>
          </cell>
          <cell r="C52">
            <v>200499.56000000003</v>
          </cell>
          <cell r="D52">
            <v>242764.61</v>
          </cell>
        </row>
        <row r="53">
          <cell r="B53" t="str">
            <v>12585401052216</v>
          </cell>
          <cell r="C53">
            <v>482.16999999999996</v>
          </cell>
          <cell r="D53">
            <v>3.15</v>
          </cell>
        </row>
        <row r="54">
          <cell r="B54" t="str">
            <v>12585701052220</v>
          </cell>
          <cell r="C54">
            <v>7898.87</v>
          </cell>
          <cell r="D54">
            <v>51.96</v>
          </cell>
        </row>
        <row r="55">
          <cell r="B55" t="str">
            <v>12585401052215</v>
          </cell>
          <cell r="C55">
            <v>32041.91</v>
          </cell>
          <cell r="D55">
            <v>64710.14</v>
          </cell>
        </row>
        <row r="56">
          <cell r="B56" t="str">
            <v>12585701052219</v>
          </cell>
          <cell r="C56">
            <v>2341</v>
          </cell>
          <cell r="D56">
            <v>15.400000000000002</v>
          </cell>
        </row>
        <row r="57">
          <cell r="B57" t="str">
            <v>13585701052212</v>
          </cell>
          <cell r="C57">
            <v>5363.78</v>
          </cell>
          <cell r="D57">
            <v>5678.18</v>
          </cell>
        </row>
        <row r="58">
          <cell r="B58" t="str">
            <v>14585501052210</v>
          </cell>
          <cell r="C58">
            <v>0</v>
          </cell>
          <cell r="D58">
            <v>33626.049999999996</v>
          </cell>
        </row>
        <row r="59">
          <cell r="B59" t="str">
            <v>12585501052214</v>
          </cell>
          <cell r="C59">
            <v>0</v>
          </cell>
          <cell r="D59">
            <v>18998.580000000002</v>
          </cell>
        </row>
        <row r="60">
          <cell r="B60" t="str">
            <v>12585701052223</v>
          </cell>
          <cell r="C60">
            <v>0</v>
          </cell>
          <cell r="D60">
            <v>5949.48</v>
          </cell>
        </row>
        <row r="61">
          <cell r="C61">
            <v>19189427.650000002</v>
          </cell>
          <cell r="D61">
            <v>689645.35000000009</v>
          </cell>
        </row>
      </sheetData>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GE"/>
      <sheetName val="SUMMARY CALC"/>
      <sheetName val="PIS AFUDC PIVOT"/>
      <sheetName val="Bucket"/>
      <sheetName val="PIS AFUDC"/>
      <sheetName val="CHARGE PIVOT"/>
      <sheetName val="Charges"/>
      <sheetName val="AFUDC Rates"/>
      <sheetName val="WO Select Query"/>
      <sheetName val="WO Select Pivot"/>
      <sheetName val="Press Release"/>
      <sheetName val="Procedures"/>
      <sheetName val="Summary for Projection"/>
    </sheetNames>
    <sheetDataSet>
      <sheetData sheetId="0"/>
      <sheetData sheetId="1"/>
      <sheetData sheetId="2"/>
      <sheetData sheetId="3"/>
      <sheetData sheetId="4"/>
      <sheetData sheetId="5">
        <row r="5">
          <cell r="B5" t="str">
            <v>07585751703</v>
          </cell>
          <cell r="C5">
            <v>30165.439999999995</v>
          </cell>
          <cell r="D5">
            <v>0</v>
          </cell>
        </row>
        <row r="6">
          <cell r="B6" t="str">
            <v>06585451801</v>
          </cell>
          <cell r="C6">
            <v>385764.89999999997</v>
          </cell>
          <cell r="D6">
            <v>0</v>
          </cell>
        </row>
        <row r="7">
          <cell r="B7" t="str">
            <v>06585461029</v>
          </cell>
          <cell r="C7">
            <v>204588.57</v>
          </cell>
          <cell r="D7">
            <v>0</v>
          </cell>
        </row>
        <row r="8">
          <cell r="B8" t="str">
            <v>06585551014</v>
          </cell>
          <cell r="C8">
            <v>109210.78</v>
          </cell>
          <cell r="D8">
            <v>0</v>
          </cell>
        </row>
        <row r="9">
          <cell r="B9" t="str">
            <v>06585751702</v>
          </cell>
          <cell r="C9">
            <v>263198.01</v>
          </cell>
          <cell r="D9">
            <v>0</v>
          </cell>
        </row>
        <row r="10">
          <cell r="B10" t="str">
            <v>07585452800</v>
          </cell>
          <cell r="C10">
            <v>373773.60000000009</v>
          </cell>
          <cell r="D10">
            <v>0</v>
          </cell>
        </row>
        <row r="11">
          <cell r="B11" t="str">
            <v>07585452801</v>
          </cell>
          <cell r="C11">
            <v>223169.95999999996</v>
          </cell>
          <cell r="D11">
            <v>0</v>
          </cell>
        </row>
        <row r="12">
          <cell r="B12" t="str">
            <v>07585452802</v>
          </cell>
          <cell r="C12">
            <v>155752.85999999999</v>
          </cell>
          <cell r="D12">
            <v>0</v>
          </cell>
        </row>
        <row r="13">
          <cell r="B13" t="str">
            <v>07585452803</v>
          </cell>
          <cell r="C13">
            <v>203041.55000000005</v>
          </cell>
          <cell r="D13">
            <v>0</v>
          </cell>
        </row>
        <row r="14">
          <cell r="B14" t="str">
            <v>07585752700</v>
          </cell>
          <cell r="C14">
            <v>224199.06</v>
          </cell>
          <cell r="D14">
            <v>0</v>
          </cell>
        </row>
        <row r="15">
          <cell r="B15" t="str">
            <v>08585452804</v>
          </cell>
          <cell r="C15">
            <v>1352899.53</v>
          </cell>
          <cell r="D15">
            <v>0</v>
          </cell>
        </row>
        <row r="16">
          <cell r="B16" t="str">
            <v>08585452806</v>
          </cell>
          <cell r="C16">
            <v>293229.81000000006</v>
          </cell>
          <cell r="D16">
            <v>0</v>
          </cell>
        </row>
        <row r="17">
          <cell r="B17" t="str">
            <v>08585452808</v>
          </cell>
          <cell r="C17">
            <v>-1.8252843680954811E-11</v>
          </cell>
          <cell r="D17">
            <v>0</v>
          </cell>
        </row>
        <row r="18">
          <cell r="B18" t="str">
            <v>08585552700</v>
          </cell>
          <cell r="C18">
            <v>54970.80999999999</v>
          </cell>
          <cell r="D18">
            <v>0</v>
          </cell>
        </row>
        <row r="19">
          <cell r="B19" t="str">
            <v>08585552701</v>
          </cell>
          <cell r="C19">
            <v>549496.19000000006</v>
          </cell>
          <cell r="D19">
            <v>0</v>
          </cell>
        </row>
        <row r="20">
          <cell r="B20" t="str">
            <v>08585552703</v>
          </cell>
          <cell r="C20">
            <v>155961.65</v>
          </cell>
          <cell r="D20">
            <v>0</v>
          </cell>
        </row>
        <row r="21">
          <cell r="B21" t="str">
            <v>08585752701</v>
          </cell>
          <cell r="C21">
            <v>72372.44</v>
          </cell>
          <cell r="D21">
            <v>0</v>
          </cell>
        </row>
        <row r="22">
          <cell r="B22" t="str">
            <v>08585752702</v>
          </cell>
          <cell r="C22">
            <v>316955.17000000004</v>
          </cell>
          <cell r="D22">
            <v>0</v>
          </cell>
        </row>
        <row r="23">
          <cell r="B23" t="str">
            <v>08585752703</v>
          </cell>
          <cell r="C23">
            <v>275572.19999999995</v>
          </cell>
          <cell r="D23">
            <v>0</v>
          </cell>
        </row>
        <row r="24">
          <cell r="B24" t="str">
            <v>08585752706</v>
          </cell>
          <cell r="C24">
            <v>427994.7300000001</v>
          </cell>
          <cell r="D24">
            <v>0</v>
          </cell>
        </row>
        <row r="25">
          <cell r="B25" t="str">
            <v>08585752707</v>
          </cell>
          <cell r="C25">
            <v>856701.07999999984</v>
          </cell>
          <cell r="D25">
            <v>0</v>
          </cell>
        </row>
        <row r="26">
          <cell r="B26" t="str">
            <v>08585752708</v>
          </cell>
          <cell r="C26">
            <v>479012.87</v>
          </cell>
          <cell r="D26">
            <v>0</v>
          </cell>
        </row>
        <row r="27">
          <cell r="B27" t="str">
            <v>09585752525</v>
          </cell>
          <cell r="C27">
            <v>224091.47</v>
          </cell>
          <cell r="D27">
            <v>0</v>
          </cell>
        </row>
        <row r="28">
          <cell r="B28" t="str">
            <v>09585752526</v>
          </cell>
          <cell r="C28">
            <v>443674.67000000004</v>
          </cell>
          <cell r="D28">
            <v>0</v>
          </cell>
        </row>
        <row r="29">
          <cell r="B29" t="str">
            <v>10585501052011</v>
          </cell>
          <cell r="C29">
            <v>309815.29999999993</v>
          </cell>
          <cell r="D29">
            <v>0</v>
          </cell>
        </row>
        <row r="30">
          <cell r="B30" t="str">
            <v>09585452527</v>
          </cell>
          <cell r="C30">
            <v>640689.92000000004</v>
          </cell>
          <cell r="D30">
            <v>0</v>
          </cell>
        </row>
        <row r="31">
          <cell r="B31" t="str">
            <v>09585701052525</v>
          </cell>
          <cell r="C31">
            <v>324158.38999999996</v>
          </cell>
          <cell r="D31">
            <v>0</v>
          </cell>
        </row>
        <row r="32">
          <cell r="B32" t="str">
            <v>10585701052212</v>
          </cell>
          <cell r="C32">
            <v>3774579.82</v>
          </cell>
          <cell r="D32">
            <v>0</v>
          </cell>
        </row>
        <row r="33">
          <cell r="B33" t="str">
            <v>11585401052214</v>
          </cell>
          <cell r="C33">
            <v>334650.34999999998</v>
          </cell>
          <cell r="D33">
            <v>0</v>
          </cell>
        </row>
        <row r="34">
          <cell r="B34" t="str">
            <v>09585701052528</v>
          </cell>
          <cell r="C34">
            <v>932974.52</v>
          </cell>
          <cell r="D34">
            <v>0</v>
          </cell>
        </row>
        <row r="35">
          <cell r="B35" t="str">
            <v>11585401052210</v>
          </cell>
          <cell r="C35">
            <v>285663.16000000015</v>
          </cell>
          <cell r="D35">
            <v>0</v>
          </cell>
        </row>
        <row r="36">
          <cell r="B36" t="str">
            <v>11585401052213</v>
          </cell>
          <cell r="C36">
            <v>262356.7</v>
          </cell>
          <cell r="D36">
            <v>0</v>
          </cell>
        </row>
        <row r="37">
          <cell r="B37" t="str">
            <v>11585401052212</v>
          </cell>
          <cell r="C37">
            <v>267078.21000000002</v>
          </cell>
          <cell r="D37">
            <v>0</v>
          </cell>
        </row>
        <row r="38">
          <cell r="B38" t="str">
            <v>09585701052526</v>
          </cell>
          <cell r="C38">
            <v>139800.86000000002</v>
          </cell>
          <cell r="D38">
            <v>0</v>
          </cell>
        </row>
        <row r="39">
          <cell r="B39" t="str">
            <v>12585701052216</v>
          </cell>
          <cell r="C39">
            <v>61267.909999999996</v>
          </cell>
          <cell r="D39">
            <v>0</v>
          </cell>
        </row>
        <row r="40">
          <cell r="B40" t="str">
            <v>08585452807</v>
          </cell>
          <cell r="C40">
            <v>281803.71000000002</v>
          </cell>
          <cell r="D40">
            <v>0</v>
          </cell>
        </row>
        <row r="41">
          <cell r="B41" t="str">
            <v>11585501052210</v>
          </cell>
          <cell r="C41">
            <v>444442.57999999996</v>
          </cell>
          <cell r="D41">
            <v>0</v>
          </cell>
        </row>
        <row r="42">
          <cell r="B42" t="str">
            <v>12585701052217</v>
          </cell>
          <cell r="C42">
            <v>420204.35000000003</v>
          </cell>
          <cell r="D42">
            <v>0</v>
          </cell>
        </row>
        <row r="43">
          <cell r="B43" t="str">
            <v>12585701052215</v>
          </cell>
          <cell r="C43">
            <v>71864.589999999953</v>
          </cell>
          <cell r="D43">
            <v>0</v>
          </cell>
        </row>
        <row r="44">
          <cell r="B44" t="str">
            <v>12585701052214</v>
          </cell>
          <cell r="C44">
            <v>847009.71</v>
          </cell>
          <cell r="D44">
            <v>0</v>
          </cell>
        </row>
        <row r="45">
          <cell r="B45" t="str">
            <v>12585401052213</v>
          </cell>
          <cell r="C45">
            <v>607160.66000000015</v>
          </cell>
          <cell r="D45">
            <v>0</v>
          </cell>
        </row>
        <row r="46">
          <cell r="B46" t="str">
            <v>12585401052212</v>
          </cell>
          <cell r="C46">
            <v>389122.42000000004</v>
          </cell>
          <cell r="D46">
            <v>160.92999999999998</v>
          </cell>
        </row>
        <row r="47">
          <cell r="B47" t="str">
            <v>12585401052214</v>
          </cell>
          <cell r="C47">
            <v>188512.04000000004</v>
          </cell>
          <cell r="D47">
            <v>0</v>
          </cell>
        </row>
        <row r="48">
          <cell r="B48" t="str">
            <v>13585701052210</v>
          </cell>
          <cell r="C48">
            <v>409948.72</v>
          </cell>
          <cell r="D48">
            <v>8438.9600000000009</v>
          </cell>
        </row>
        <row r="49">
          <cell r="B49" t="str">
            <v>13585401052217</v>
          </cell>
          <cell r="C49">
            <v>64549.060000000005</v>
          </cell>
          <cell r="D49">
            <v>4756.7700000000004</v>
          </cell>
        </row>
        <row r="50">
          <cell r="B50" t="str">
            <v>12585701052212</v>
          </cell>
          <cell r="C50">
            <v>101810.97</v>
          </cell>
          <cell r="D50">
            <v>88670.150000000009</v>
          </cell>
        </row>
        <row r="51">
          <cell r="B51" t="str">
            <v>12585701052213</v>
          </cell>
          <cell r="C51">
            <v>105539.06</v>
          </cell>
          <cell r="D51">
            <v>215820.99000000002</v>
          </cell>
        </row>
        <row r="52">
          <cell r="B52" t="str">
            <v>13585401052210</v>
          </cell>
          <cell r="C52">
            <v>200499.56000000003</v>
          </cell>
          <cell r="D52">
            <v>242764.61</v>
          </cell>
        </row>
        <row r="53">
          <cell r="B53" t="str">
            <v>12585401052216</v>
          </cell>
          <cell r="C53">
            <v>482.16999999999996</v>
          </cell>
          <cell r="D53">
            <v>3.15</v>
          </cell>
        </row>
        <row r="54">
          <cell r="B54" t="str">
            <v>12585701052220</v>
          </cell>
          <cell r="C54">
            <v>7898.87</v>
          </cell>
          <cell r="D54">
            <v>51.96</v>
          </cell>
        </row>
        <row r="55">
          <cell r="B55" t="str">
            <v>12585401052215</v>
          </cell>
          <cell r="C55">
            <v>32041.91</v>
          </cell>
          <cell r="D55">
            <v>64710.14</v>
          </cell>
        </row>
        <row r="56">
          <cell r="B56" t="str">
            <v>12585701052219</v>
          </cell>
          <cell r="C56">
            <v>2341</v>
          </cell>
          <cell r="D56">
            <v>15.400000000000002</v>
          </cell>
        </row>
        <row r="57">
          <cell r="B57" t="str">
            <v>13585701052212</v>
          </cell>
          <cell r="C57">
            <v>5363.78</v>
          </cell>
          <cell r="D57">
            <v>5678.18</v>
          </cell>
        </row>
        <row r="58">
          <cell r="B58" t="str">
            <v>14585501052210</v>
          </cell>
          <cell r="C58">
            <v>0</v>
          </cell>
          <cell r="D58">
            <v>33626.049999999996</v>
          </cell>
        </row>
        <row r="59">
          <cell r="B59" t="str">
            <v>12585501052214</v>
          </cell>
          <cell r="C59">
            <v>0</v>
          </cell>
          <cell r="D59">
            <v>18998.580000000002</v>
          </cell>
        </row>
        <row r="60">
          <cell r="B60" t="str">
            <v>12585701052223</v>
          </cell>
          <cell r="C60">
            <v>0</v>
          </cell>
          <cell r="D60">
            <v>5949.48</v>
          </cell>
        </row>
        <row r="61">
          <cell r="C61">
            <v>19189427.650000002</v>
          </cell>
          <cell r="D61">
            <v>689645.35000000009</v>
          </cell>
        </row>
      </sheetData>
      <sheetData sheetId="6"/>
      <sheetData sheetId="7"/>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th D-Mod"/>
      <sheetName val="North D-Mod"/>
      <sheetName val="Support"/>
      <sheetName val="DB"/>
      <sheetName val="Engineer"/>
      <sheetName val="Pivot"/>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th D-Mod"/>
      <sheetName val="North D-Mod"/>
      <sheetName val="Support"/>
      <sheetName val="DB"/>
      <sheetName val="Engineer"/>
      <sheetName val="Pivot"/>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Analysis for Estimate"/>
      <sheetName val="Project Log"/>
      <sheetName val="Sheet1"/>
      <sheetName val="Sheet3"/>
      <sheetName val="Sheet4"/>
      <sheetName val="Sheet5"/>
      <sheetName val="Sheet6"/>
      <sheetName val="O&amp;M Pivot Analysis"/>
      <sheetName val="Source Data"/>
      <sheetName val="IM Risk Score Per Pipeline"/>
      <sheetName val="IM System Name"/>
      <sheetName val="Directions"/>
      <sheetName val="Costs By Year"/>
      <sheetName val="ILI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1">
          <cell r="B21">
            <v>2013</v>
          </cell>
        </row>
        <row r="22">
          <cell r="B22">
            <v>2014</v>
          </cell>
        </row>
        <row r="23">
          <cell r="B23">
            <v>2015</v>
          </cell>
        </row>
        <row r="24">
          <cell r="B24">
            <v>2016</v>
          </cell>
        </row>
        <row r="25">
          <cell r="B25">
            <v>2017</v>
          </cell>
        </row>
        <row r="26">
          <cell r="B26">
            <v>2018</v>
          </cell>
        </row>
        <row r="27">
          <cell r="B27">
            <v>2019</v>
          </cell>
        </row>
        <row r="28">
          <cell r="B28">
            <v>2020</v>
          </cell>
        </row>
        <row r="29">
          <cell r="B29">
            <v>2021</v>
          </cell>
        </row>
        <row r="30">
          <cell r="B30">
            <v>2022</v>
          </cell>
        </row>
        <row r="31">
          <cell r="B31">
            <v>2023</v>
          </cell>
        </row>
        <row r="32">
          <cell r="B32">
            <v>2024</v>
          </cell>
        </row>
        <row r="33">
          <cell r="B33">
            <v>2025</v>
          </cell>
        </row>
        <row r="34">
          <cell r="B34">
            <v>2026</v>
          </cell>
        </row>
        <row r="35">
          <cell r="B35">
            <v>2027</v>
          </cell>
        </row>
        <row r="36">
          <cell r="B36">
            <v>2028</v>
          </cell>
        </row>
        <row r="37">
          <cell r="B37">
            <v>2029</v>
          </cell>
        </row>
        <row r="38">
          <cell r="B38">
            <v>2030</v>
          </cell>
        </row>
        <row r="39">
          <cell r="B39">
            <v>2031</v>
          </cell>
        </row>
        <row r="40">
          <cell r="B40">
            <v>2032</v>
          </cell>
        </row>
        <row r="41">
          <cell r="B41">
            <v>2033</v>
          </cell>
        </row>
        <row r="42">
          <cell r="B42">
            <v>2034</v>
          </cell>
        </row>
        <row r="43">
          <cell r="B43">
            <v>2035</v>
          </cell>
        </row>
        <row r="44">
          <cell r="B44" t="str">
            <v>Other</v>
          </cell>
        </row>
        <row r="520">
          <cell r="B520" t="str">
            <v>Bridge Crossings</v>
          </cell>
        </row>
        <row r="521">
          <cell r="B521" t="str">
            <v>Casings</v>
          </cell>
        </row>
        <row r="522">
          <cell r="B522" t="str">
            <v>Data Collection</v>
          </cell>
        </row>
        <row r="523">
          <cell r="B523" t="str">
            <v>Direct Assesment</v>
          </cell>
        </row>
        <row r="524">
          <cell r="B524" t="str">
            <v>Encroachments</v>
          </cell>
        </row>
        <row r="525">
          <cell r="B525" t="str">
            <v>Exposures</v>
          </cell>
        </row>
        <row r="526">
          <cell r="B526" t="str">
            <v>Gas Quality / Conditioning</v>
          </cell>
        </row>
        <row r="527">
          <cell r="B527" t="str">
            <v>ILI Assessments</v>
          </cell>
        </row>
        <row r="528">
          <cell r="B528" t="str">
            <v>ILI Retrofits</v>
          </cell>
        </row>
        <row r="529">
          <cell r="B529" t="str">
            <v>Ineffectively Coated Steel</v>
          </cell>
        </row>
        <row r="530">
          <cell r="B530" t="str">
            <v>Inside Meters</v>
          </cell>
        </row>
        <row r="531">
          <cell r="B531" t="str">
            <v>Miscellaneous</v>
          </cell>
        </row>
        <row r="532">
          <cell r="B532" t="str">
            <v>Non-Commerically Available Pipe Size</v>
          </cell>
        </row>
        <row r="533">
          <cell r="B533" t="str">
            <v>Obsolete Equipment</v>
          </cell>
        </row>
        <row r="534">
          <cell r="B534" t="str">
            <v>Odorizers</v>
          </cell>
        </row>
        <row r="535">
          <cell r="B535" t="str">
            <v>Pressure Monitoring / SCADA / RTU</v>
          </cell>
        </row>
        <row r="536">
          <cell r="B536" t="str">
            <v>Pressure Test</v>
          </cell>
        </row>
        <row r="537">
          <cell r="B537" t="str">
            <v>Priority Pipe</v>
          </cell>
        </row>
        <row r="538">
          <cell r="B538" t="str">
            <v>Regulator Station</v>
          </cell>
        </row>
        <row r="539">
          <cell r="B539" t="str">
            <v>Retirements</v>
          </cell>
        </row>
        <row r="540">
          <cell r="B540" t="str">
            <v>Shallow Pipe</v>
          </cell>
        </row>
        <row r="541">
          <cell r="B541" t="str">
            <v>Single Feed Systems</v>
          </cell>
        </row>
        <row r="542">
          <cell r="B542" t="str">
            <v>Station Rehabilitation</v>
          </cell>
        </row>
        <row r="543">
          <cell r="B543" t="str">
            <v>Uprate</v>
          </cell>
        </row>
        <row r="544">
          <cell r="B544" t="str">
            <v>Valves / Operators / Remote Cntrl</v>
          </cell>
        </row>
        <row r="545">
          <cell r="B545" t="str">
            <v>Vintage Plastic (Aldyl-A)</v>
          </cell>
        </row>
        <row r="548">
          <cell r="B548" t="str">
            <v>Transmission</v>
          </cell>
        </row>
        <row r="549">
          <cell r="B549" t="str">
            <v>Distribution</v>
          </cell>
        </row>
        <row r="552">
          <cell r="B552" t="str">
            <v>NE</v>
          </cell>
        </row>
        <row r="553">
          <cell r="B553" t="str">
            <v>NW</v>
          </cell>
        </row>
        <row r="554">
          <cell r="B554" t="str">
            <v>OH</v>
          </cell>
        </row>
        <row r="555">
          <cell r="B555" t="str">
            <v>SE</v>
          </cell>
        </row>
        <row r="556">
          <cell r="B556" t="str">
            <v>SW</v>
          </cell>
        </row>
        <row r="559">
          <cell r="B559" t="str">
            <v>NE/Anderson</v>
          </cell>
        </row>
        <row r="560">
          <cell r="B560" t="str">
            <v>NE/Greenfield</v>
          </cell>
        </row>
        <row r="561">
          <cell r="B561" t="str">
            <v>NE/Huntington</v>
          </cell>
        </row>
        <row r="562">
          <cell r="B562" t="str">
            <v>NE/Muncie</v>
          </cell>
        </row>
        <row r="563">
          <cell r="B563" t="str">
            <v>NE/New Castle</v>
          </cell>
        </row>
        <row r="564">
          <cell r="B564" t="str">
            <v>NE/Noblesville</v>
          </cell>
        </row>
        <row r="565">
          <cell r="B565" t="str">
            <v>NE/Richmond</v>
          </cell>
        </row>
        <row r="566">
          <cell r="B566" t="str">
            <v>NW/Attica</v>
          </cell>
        </row>
        <row r="567">
          <cell r="B567" t="str">
            <v>NW/Crawfordsville</v>
          </cell>
        </row>
        <row r="568">
          <cell r="B568" t="str">
            <v>NW/Danville</v>
          </cell>
        </row>
        <row r="569">
          <cell r="B569" t="str">
            <v>NW/Frankfort</v>
          </cell>
        </row>
        <row r="570">
          <cell r="B570" t="str">
            <v>NW/Greencastle</v>
          </cell>
        </row>
        <row r="571">
          <cell r="B571" t="str">
            <v>NW/Lafayette</v>
          </cell>
        </row>
        <row r="572">
          <cell r="B572" t="str">
            <v>NW/Lebanon</v>
          </cell>
        </row>
        <row r="573">
          <cell r="B573" t="str">
            <v>NW/Rockville</v>
          </cell>
        </row>
        <row r="574">
          <cell r="B574" t="str">
            <v>NW/Terre Haute</v>
          </cell>
        </row>
        <row r="575">
          <cell r="B575" t="str">
            <v>NW/Wolcott</v>
          </cell>
        </row>
        <row r="576">
          <cell r="B576" t="str">
            <v>SE/Bedford</v>
          </cell>
        </row>
        <row r="577">
          <cell r="B577" t="str">
            <v>SE/Bloomington</v>
          </cell>
        </row>
        <row r="578">
          <cell r="B578" t="str">
            <v>SE/Clarksville</v>
          </cell>
        </row>
        <row r="579">
          <cell r="B579" t="str">
            <v>SE/Columbus</v>
          </cell>
        </row>
        <row r="580">
          <cell r="B580" t="str">
            <v>SE/Franklin</v>
          </cell>
        </row>
        <row r="581">
          <cell r="B581" t="str">
            <v>SE/Greensburg</v>
          </cell>
        </row>
        <row r="582">
          <cell r="B582" t="str">
            <v>SE/Madison</v>
          </cell>
        </row>
        <row r="583">
          <cell r="B583" t="str">
            <v>SE/Martinsville</v>
          </cell>
        </row>
        <row r="584">
          <cell r="B584" t="str">
            <v>SE/Shelbyville</v>
          </cell>
        </row>
        <row r="585">
          <cell r="B585" t="str">
            <v>SW/Boonville</v>
          </cell>
        </row>
        <row r="586">
          <cell r="B586" t="str">
            <v>SW/Evansville</v>
          </cell>
        </row>
        <row r="587">
          <cell r="B587" t="str">
            <v>SW/Mt. Vernon</v>
          </cell>
        </row>
        <row r="588">
          <cell r="B588" t="str">
            <v>SW/Rockport</v>
          </cell>
        </row>
        <row r="589">
          <cell r="B589" t="str">
            <v>SW/Vincennes</v>
          </cell>
        </row>
        <row r="590">
          <cell r="B590" t="str">
            <v>OH/Centerville</v>
          </cell>
        </row>
        <row r="591">
          <cell r="B591" t="str">
            <v>OH/Dayton West</v>
          </cell>
        </row>
        <row r="592">
          <cell r="B592" t="str">
            <v>OH/Fairborn</v>
          </cell>
        </row>
        <row r="593">
          <cell r="B593" t="str">
            <v>OH/Troy</v>
          </cell>
        </row>
        <row r="594">
          <cell r="B594" t="str">
            <v>OH/Washington CH</v>
          </cell>
        </row>
        <row r="597">
          <cell r="B597" t="str">
            <v>SB 251</v>
          </cell>
        </row>
        <row r="598">
          <cell r="B598" t="str">
            <v>SB 560</v>
          </cell>
        </row>
        <row r="599">
          <cell r="B599" t="str">
            <v>SB 560 PI</v>
          </cell>
        </row>
        <row r="600">
          <cell r="B600" t="str">
            <v>SB 560 SI</v>
          </cell>
        </row>
        <row r="601">
          <cell r="B601" t="str">
            <v>SB 560 SR</v>
          </cell>
        </row>
        <row r="602">
          <cell r="B602" t="str">
            <v>SB 560 C</v>
          </cell>
        </row>
        <row r="603">
          <cell r="B603" t="str">
            <v>SB 560 LPS</v>
          </cell>
        </row>
        <row r="604">
          <cell r="B604" t="str">
            <v>PSA Tracker</v>
          </cell>
        </row>
        <row r="605">
          <cell r="B605" t="str">
            <v>Other</v>
          </cell>
        </row>
        <row r="608">
          <cell r="B608" t="str">
            <v>Yes</v>
          </cell>
        </row>
        <row r="609">
          <cell r="B609" t="str">
            <v>No</v>
          </cell>
        </row>
        <row r="612">
          <cell r="B612" t="str">
            <v>Budgeted</v>
          </cell>
        </row>
        <row r="613">
          <cell r="B613" t="str">
            <v>Scheduled</v>
          </cell>
        </row>
        <row r="614">
          <cell r="B614" t="str">
            <v>In Progress</v>
          </cell>
        </row>
        <row r="615">
          <cell r="B615" t="str">
            <v>Resolved</v>
          </cell>
        </row>
        <row r="616">
          <cell r="B616" t="str">
            <v>Completed</v>
          </cell>
        </row>
        <row r="617">
          <cell r="B617" t="str">
            <v>Rollover</v>
          </cell>
        </row>
        <row r="639">
          <cell r="B639" t="str">
            <v>External Corrosion</v>
          </cell>
          <cell r="C639">
            <v>5</v>
          </cell>
        </row>
        <row r="640">
          <cell r="B640" t="str">
            <v>Internal Corrosion</v>
          </cell>
          <cell r="C640">
            <v>5</v>
          </cell>
        </row>
        <row r="641">
          <cell r="B641" t="str">
            <v>Atmospheric Corrosion</v>
          </cell>
          <cell r="C641">
            <v>3</v>
          </cell>
        </row>
        <row r="642">
          <cell r="B642" t="str">
            <v>Indirect Corrosion</v>
          </cell>
          <cell r="C642">
            <v>2</v>
          </cell>
        </row>
        <row r="643">
          <cell r="B643" t="str">
            <v>Natural Forces</v>
          </cell>
          <cell r="C643">
            <v>5</v>
          </cell>
        </row>
        <row r="644">
          <cell r="B644" t="str">
            <v>Excavation Damage</v>
          </cell>
          <cell r="C644">
            <v>5</v>
          </cell>
        </row>
        <row r="645">
          <cell r="B645" t="str">
            <v>Other Outside Force</v>
          </cell>
          <cell r="C645">
            <v>5</v>
          </cell>
        </row>
        <row r="646">
          <cell r="B646" t="str">
            <v>Material Weld / Joint</v>
          </cell>
          <cell r="C646">
            <v>5</v>
          </cell>
        </row>
        <row r="647">
          <cell r="B647" t="str">
            <v>Equipment Malfunction</v>
          </cell>
          <cell r="C647">
            <v>3</v>
          </cell>
        </row>
        <row r="648">
          <cell r="B648" t="str">
            <v>Inappropriate Operation</v>
          </cell>
          <cell r="C648">
            <v>4</v>
          </cell>
        </row>
        <row r="649">
          <cell r="B649" t="str">
            <v>Sewer Transection</v>
          </cell>
          <cell r="C649">
            <v>4</v>
          </cell>
        </row>
        <row r="650">
          <cell r="B650" t="str">
            <v>Overbuilds / Encroachment</v>
          </cell>
          <cell r="C650">
            <v>3</v>
          </cell>
        </row>
        <row r="651">
          <cell r="B651" t="str">
            <v>Stress Corrosion cracking</v>
          </cell>
          <cell r="C651">
            <v>5</v>
          </cell>
        </row>
        <row r="652">
          <cell r="B652" t="str">
            <v>Seam / Weld / Fab / Girth Def</v>
          </cell>
          <cell r="C652">
            <v>5</v>
          </cell>
        </row>
        <row r="653">
          <cell r="B653" t="str">
            <v>Pipe Body defect</v>
          </cell>
          <cell r="C653">
            <v>3</v>
          </cell>
        </row>
        <row r="654">
          <cell r="B654" t="str">
            <v>Wrinkle Bend</v>
          </cell>
          <cell r="C654">
            <v>2</v>
          </cell>
        </row>
        <row r="655">
          <cell r="B655" t="str">
            <v>Broken thread or coupling</v>
          </cell>
          <cell r="C655">
            <v>1</v>
          </cell>
        </row>
        <row r="656">
          <cell r="B656" t="str">
            <v>Gasket or o-ring failure</v>
          </cell>
          <cell r="C656">
            <v>1</v>
          </cell>
        </row>
        <row r="657">
          <cell r="B657" t="str">
            <v>Pressure control equipment</v>
          </cell>
          <cell r="C657">
            <v>4</v>
          </cell>
        </row>
        <row r="658">
          <cell r="B658" t="str">
            <v>Seal or Packing failure</v>
          </cell>
          <cell r="C658">
            <v>1</v>
          </cell>
        </row>
        <row r="659">
          <cell r="B659" t="str">
            <v>Misc Equipment</v>
          </cell>
          <cell r="C659">
            <v>2</v>
          </cell>
        </row>
        <row r="660">
          <cell r="B660" t="str">
            <v>Risk of Damage</v>
          </cell>
          <cell r="C660">
            <v>3</v>
          </cell>
        </row>
        <row r="661">
          <cell r="B661" t="str">
            <v>Vandalism</v>
          </cell>
          <cell r="C661">
            <v>3</v>
          </cell>
        </row>
        <row r="662">
          <cell r="B662" t="str">
            <v>Incorrect operation</v>
          </cell>
          <cell r="C662">
            <v>3</v>
          </cell>
        </row>
        <row r="663">
          <cell r="B663" t="str">
            <v>Cold Weather</v>
          </cell>
          <cell r="C663">
            <v>1</v>
          </cell>
        </row>
        <row r="664">
          <cell r="B664" t="str">
            <v>Lightning</v>
          </cell>
          <cell r="C664">
            <v>1</v>
          </cell>
        </row>
        <row r="665">
          <cell r="B665" t="str">
            <v>Flooding or heavy rain</v>
          </cell>
          <cell r="C665">
            <v>3</v>
          </cell>
        </row>
        <row r="666">
          <cell r="B666" t="str">
            <v>Soil Movement</v>
          </cell>
          <cell r="C666">
            <v>1</v>
          </cell>
        </row>
        <row r="669">
          <cell r="B669" t="str">
            <v>Pipeline - Steel</v>
          </cell>
          <cell r="C669">
            <v>5</v>
          </cell>
        </row>
        <row r="670">
          <cell r="B670" t="str">
            <v>Pipeline - Plastic</v>
          </cell>
          <cell r="C670">
            <v>4</v>
          </cell>
        </row>
        <row r="671">
          <cell r="B671" t="str">
            <v>Pipeline - Cast Iron</v>
          </cell>
          <cell r="C671">
            <v>5</v>
          </cell>
        </row>
        <row r="672">
          <cell r="B672" t="str">
            <v>Valve</v>
          </cell>
          <cell r="C672">
            <v>3</v>
          </cell>
        </row>
        <row r="673">
          <cell r="B673" t="str">
            <v>Pipeline Heater</v>
          </cell>
          <cell r="C673">
            <v>3</v>
          </cell>
        </row>
        <row r="674">
          <cell r="B674" t="str">
            <v>Odorizer</v>
          </cell>
          <cell r="C674">
            <v>3</v>
          </cell>
        </row>
        <row r="675">
          <cell r="B675" t="str">
            <v>Filter</v>
          </cell>
          <cell r="C675">
            <v>2</v>
          </cell>
        </row>
        <row r="676">
          <cell r="B676" t="str">
            <v>Pressure Control</v>
          </cell>
          <cell r="C676">
            <v>4</v>
          </cell>
        </row>
        <row r="677">
          <cell r="B677" t="str">
            <v>Meter</v>
          </cell>
          <cell r="C677">
            <v>4</v>
          </cell>
        </row>
        <row r="678">
          <cell r="B678" t="str">
            <v>Service Line - Steel</v>
          </cell>
          <cell r="C678">
            <v>5</v>
          </cell>
        </row>
        <row r="679">
          <cell r="B679" t="str">
            <v>Service Line - Plastic</v>
          </cell>
          <cell r="C679">
            <v>4</v>
          </cell>
        </row>
        <row r="680">
          <cell r="B680" t="str">
            <v>Service Line - Other</v>
          </cell>
          <cell r="C680">
            <v>5</v>
          </cell>
        </row>
        <row r="681">
          <cell r="B681" t="str">
            <v>Gas Quality Equip</v>
          </cell>
          <cell r="C681">
            <v>2</v>
          </cell>
        </row>
        <row r="684">
          <cell r="B684" t="str">
            <v>Unknown</v>
          </cell>
          <cell r="C684">
            <v>3</v>
          </cell>
        </row>
        <row r="685">
          <cell r="B685" t="str">
            <v>2000-current</v>
          </cell>
          <cell r="C685">
            <v>1</v>
          </cell>
        </row>
        <row r="686">
          <cell r="B686" t="str">
            <v>1985 - 1999</v>
          </cell>
          <cell r="C686">
            <v>2</v>
          </cell>
        </row>
        <row r="687">
          <cell r="B687" t="str">
            <v>1971 - 1985</v>
          </cell>
          <cell r="C687">
            <v>4</v>
          </cell>
        </row>
        <row r="688">
          <cell r="B688" t="str">
            <v>1955 -1970</v>
          </cell>
          <cell r="C688">
            <v>4</v>
          </cell>
        </row>
        <row r="689">
          <cell r="B689" t="str">
            <v>Prior to 1955</v>
          </cell>
          <cell r="C689">
            <v>5</v>
          </cell>
        </row>
        <row r="690">
          <cell r="B690" t="str">
            <v>N/A</v>
          </cell>
          <cell r="C690">
            <v>3</v>
          </cell>
        </row>
        <row r="693">
          <cell r="B693" t="str">
            <v>Unknown</v>
          </cell>
          <cell r="C693">
            <v>5</v>
          </cell>
        </row>
        <row r="694">
          <cell r="B694" t="str">
            <v>HP Dist: &gt; 60 psig &amp; &lt;20%</v>
          </cell>
          <cell r="C694">
            <v>2</v>
          </cell>
        </row>
        <row r="695">
          <cell r="B695" t="str">
            <v>Distribution &lt;60psig</v>
          </cell>
          <cell r="C695">
            <v>1</v>
          </cell>
        </row>
        <row r="696">
          <cell r="B696" t="str">
            <v>Transmission: 20% - 30%</v>
          </cell>
          <cell r="C696">
            <v>3</v>
          </cell>
        </row>
        <row r="697">
          <cell r="B697" t="str">
            <v>Transmission: 30% - 50%</v>
          </cell>
          <cell r="C697">
            <v>4</v>
          </cell>
        </row>
        <row r="698">
          <cell r="B698" t="str">
            <v>Transmission: &gt; 50%</v>
          </cell>
          <cell r="C698">
            <v>5</v>
          </cell>
        </row>
        <row r="701">
          <cell r="B701" t="str">
            <v>Yes</v>
          </cell>
          <cell r="C701">
            <v>4</v>
          </cell>
        </row>
        <row r="702">
          <cell r="B702" t="str">
            <v>No</v>
          </cell>
          <cell r="C702">
            <v>1</v>
          </cell>
        </row>
        <row r="703">
          <cell r="B703" t="str">
            <v>N/A</v>
          </cell>
          <cell r="C703">
            <v>1</v>
          </cell>
        </row>
        <row r="706">
          <cell r="B706" t="str">
            <v>Residential</v>
          </cell>
          <cell r="C706">
            <v>4</v>
          </cell>
        </row>
        <row r="707">
          <cell r="B707" t="str">
            <v>Business District</v>
          </cell>
          <cell r="C707">
            <v>5</v>
          </cell>
        </row>
        <row r="708">
          <cell r="B708" t="str">
            <v>Rural</v>
          </cell>
          <cell r="C708">
            <v>2</v>
          </cell>
        </row>
        <row r="709">
          <cell r="B709" t="str">
            <v>Class 1  (1-10)</v>
          </cell>
          <cell r="C709">
            <v>1</v>
          </cell>
        </row>
        <row r="710">
          <cell r="B710" t="str">
            <v>Class 2 (11-46)</v>
          </cell>
          <cell r="C710">
            <v>2</v>
          </cell>
        </row>
        <row r="711">
          <cell r="B711" t="str">
            <v>Class 3 (&gt;  46)</v>
          </cell>
          <cell r="C711">
            <v>4</v>
          </cell>
        </row>
        <row r="712">
          <cell r="B712" t="str">
            <v>Class 4 (4+stories bldgs)</v>
          </cell>
          <cell r="C712">
            <v>5</v>
          </cell>
        </row>
        <row r="715">
          <cell r="B715" t="str">
            <v>&lt; 1yr</v>
          </cell>
          <cell r="C715">
            <v>5</v>
          </cell>
        </row>
        <row r="716">
          <cell r="B716" t="str">
            <v>&gt; 1 yr / &lt; 2 yr</v>
          </cell>
          <cell r="C716">
            <v>4</v>
          </cell>
        </row>
        <row r="717">
          <cell r="B717" t="str">
            <v>&gt; 2 yr / &lt; 3 yr</v>
          </cell>
          <cell r="C717">
            <v>3</v>
          </cell>
        </row>
        <row r="718">
          <cell r="B718" t="str">
            <v>&gt; 3 yr / &lt; 4 yr</v>
          </cell>
          <cell r="C718">
            <v>2</v>
          </cell>
        </row>
        <row r="719">
          <cell r="B719" t="str">
            <v>&gt; 4 yr / &lt; 5 yr</v>
          </cell>
          <cell r="C719">
            <v>1</v>
          </cell>
        </row>
        <row r="720">
          <cell r="B720" t="str">
            <v>N/A</v>
          </cell>
          <cell r="C720">
            <v>0</v>
          </cell>
        </row>
        <row r="723">
          <cell r="B723" t="str">
            <v>Ready to inspect</v>
          </cell>
          <cell r="C723">
            <v>1</v>
          </cell>
        </row>
        <row r="724">
          <cell r="B724" t="str">
            <v>Traps in place + Minor modifications needed</v>
          </cell>
          <cell r="C724">
            <v>2</v>
          </cell>
        </row>
        <row r="725">
          <cell r="B725" t="str">
            <v>Traps required + Minor modifications needed</v>
          </cell>
          <cell r="C725">
            <v>3</v>
          </cell>
        </row>
        <row r="726">
          <cell r="B726" t="str">
            <v>Traps required + Major modifications needed</v>
          </cell>
          <cell r="C726">
            <v>4</v>
          </cell>
        </row>
        <row r="727">
          <cell r="B727" t="str">
            <v>Not feasible for modification to all smart pigging</v>
          </cell>
          <cell r="C727">
            <v>5</v>
          </cell>
        </row>
        <row r="728">
          <cell r="B728" t="str">
            <v>N/A</v>
          </cell>
          <cell r="C728">
            <v>1</v>
          </cell>
        </row>
        <row r="731">
          <cell r="B731" t="str">
            <v>Wall/Wall Pavement</v>
          </cell>
          <cell r="C731">
            <v>5</v>
          </cell>
        </row>
        <row r="732">
          <cell r="B732" t="str">
            <v>Cased Crossing</v>
          </cell>
          <cell r="C732">
            <v>2</v>
          </cell>
        </row>
        <row r="733">
          <cell r="B733" t="str">
            <v>Non- Cased Crossing</v>
          </cell>
          <cell r="C733">
            <v>4</v>
          </cell>
        </row>
        <row r="734">
          <cell r="B734" t="str">
            <v>Extra Depth</v>
          </cell>
          <cell r="C734">
            <v>4</v>
          </cell>
        </row>
        <row r="735">
          <cell r="B735" t="str">
            <v>Water Crossing</v>
          </cell>
          <cell r="C735">
            <v>5</v>
          </cell>
        </row>
        <row r="736">
          <cell r="B736" t="str">
            <v>Farm / Native Soil</v>
          </cell>
          <cell r="C736">
            <v>2</v>
          </cell>
        </row>
        <row r="737">
          <cell r="B737" t="str">
            <v>Above-Ground</v>
          </cell>
          <cell r="C737">
            <v>2</v>
          </cell>
        </row>
        <row r="738">
          <cell r="B738" t="str">
            <v>Below-Ground - Pit / Vault</v>
          </cell>
          <cell r="C738">
            <v>3</v>
          </cell>
        </row>
        <row r="739">
          <cell r="B739" t="str">
            <v>Street / Public ROW</v>
          </cell>
          <cell r="C739">
            <v>4</v>
          </cell>
        </row>
        <row r="742">
          <cell r="B742" t="str">
            <v>Time Sensitive (Current Year)</v>
          </cell>
          <cell r="C742">
            <v>5</v>
          </cell>
        </row>
        <row r="743">
          <cell r="B743" t="str">
            <v>Time Sensitive (1-2 years)</v>
          </cell>
          <cell r="C743">
            <v>3</v>
          </cell>
        </row>
        <row r="744">
          <cell r="B744" t="str">
            <v>Time Sensitive (3-5 years)</v>
          </cell>
          <cell r="C744">
            <v>2</v>
          </cell>
        </row>
        <row r="745">
          <cell r="B745" t="str">
            <v>Operations &amp; Maintenance</v>
          </cell>
          <cell r="C745">
            <v>1</v>
          </cell>
        </row>
        <row r="746">
          <cell r="B746" t="str">
            <v xml:space="preserve">High Impact </v>
          </cell>
          <cell r="C746">
            <v>5</v>
          </cell>
        </row>
        <row r="749">
          <cell r="B749" t="str">
            <v>Local</v>
          </cell>
          <cell r="C749">
            <v>3</v>
          </cell>
        </row>
        <row r="750">
          <cell r="B750" t="str">
            <v>State Permit</v>
          </cell>
          <cell r="C750">
            <v>4</v>
          </cell>
        </row>
        <row r="751">
          <cell r="B751" t="str">
            <v>Federal Permit</v>
          </cell>
          <cell r="C751">
            <v>5</v>
          </cell>
        </row>
        <row r="752">
          <cell r="B752" t="str">
            <v>Environmental</v>
          </cell>
          <cell r="C752">
            <v>5</v>
          </cell>
        </row>
        <row r="753">
          <cell r="B753" t="str">
            <v>No Long Lead Permits</v>
          </cell>
          <cell r="C753">
            <v>1</v>
          </cell>
        </row>
        <row r="756">
          <cell r="B756" t="str">
            <v>Low PSI / Capacity</v>
          </cell>
          <cell r="C756">
            <v>4</v>
          </cell>
        </row>
        <row r="757">
          <cell r="B757" t="str">
            <v>Water</v>
          </cell>
          <cell r="C757">
            <v>5</v>
          </cell>
        </row>
        <row r="758">
          <cell r="B758" t="str">
            <v>Unlocatable Pipe</v>
          </cell>
          <cell r="C758">
            <v>5</v>
          </cell>
        </row>
        <row r="759">
          <cell r="B759" t="str">
            <v>None Identified</v>
          </cell>
          <cell r="C759">
            <v>0</v>
          </cell>
        </row>
        <row r="762">
          <cell r="B762" t="str">
            <v>Long Lead Time</v>
          </cell>
          <cell r="C762">
            <v>4</v>
          </cell>
        </row>
        <row r="763">
          <cell r="B763" t="str">
            <v xml:space="preserve">Obsolete Material </v>
          </cell>
          <cell r="C763">
            <v>5</v>
          </cell>
        </row>
        <row r="764">
          <cell r="B764" t="str">
            <v>Material Available</v>
          </cell>
          <cell r="C764">
            <v>1</v>
          </cell>
        </row>
      </sheetData>
      <sheetData sheetId="9" refreshError="1">
        <row r="2">
          <cell r="A2" t="str">
            <v>NE4001</v>
          </cell>
          <cell r="B2">
            <v>25.5854</v>
          </cell>
        </row>
        <row r="3">
          <cell r="A3" t="str">
            <v>NE4001</v>
          </cell>
          <cell r="B3">
            <v>5.8658663214730797</v>
          </cell>
        </row>
        <row r="4">
          <cell r="A4" t="str">
            <v>NE4002</v>
          </cell>
          <cell r="B4">
            <v>5.9173999999999998</v>
          </cell>
        </row>
        <row r="5">
          <cell r="A5" t="str">
            <v>NE4002</v>
          </cell>
          <cell r="B5">
            <v>5.8531805250536504</v>
          </cell>
        </row>
        <row r="6">
          <cell r="A6" t="str">
            <v>NE4003</v>
          </cell>
          <cell r="B6">
            <v>22.232199999999999</v>
          </cell>
        </row>
        <row r="7">
          <cell r="A7" t="str">
            <v>NE4003</v>
          </cell>
          <cell r="B7">
            <v>5.8404947286342299</v>
          </cell>
        </row>
        <row r="8">
          <cell r="A8" t="str">
            <v>NE4004</v>
          </cell>
          <cell r="B8">
            <v>19.491099999999999</v>
          </cell>
        </row>
        <row r="9">
          <cell r="A9" t="str">
            <v>NE4004</v>
          </cell>
          <cell r="B9">
            <v>5.8278089322148103</v>
          </cell>
        </row>
        <row r="10">
          <cell r="A10" t="str">
            <v>NE4005</v>
          </cell>
          <cell r="B10">
            <v>14.8757</v>
          </cell>
        </row>
        <row r="11">
          <cell r="A11" t="str">
            <v>NE4005</v>
          </cell>
          <cell r="B11">
            <v>5.8151231357953899</v>
          </cell>
        </row>
        <row r="12">
          <cell r="A12" t="str">
            <v>NE4006</v>
          </cell>
          <cell r="B12">
            <v>16.962199999999999</v>
          </cell>
        </row>
        <row r="13">
          <cell r="A13" t="str">
            <v>NE4006</v>
          </cell>
          <cell r="B13">
            <v>5.8024373393759703</v>
          </cell>
        </row>
        <row r="14">
          <cell r="A14" t="str">
            <v>NE4007</v>
          </cell>
          <cell r="B14">
            <v>7.7610999999999999</v>
          </cell>
        </row>
        <row r="15">
          <cell r="A15" t="str">
            <v>NE4007</v>
          </cell>
          <cell r="B15">
            <v>5.7897515429565498</v>
          </cell>
        </row>
        <row r="16">
          <cell r="A16" t="str">
            <v>NE4008</v>
          </cell>
          <cell r="B16">
            <v>9.7829999999999995</v>
          </cell>
        </row>
        <row r="17">
          <cell r="A17" t="str">
            <v>NE4008</v>
          </cell>
          <cell r="B17">
            <v>5.7770657465371302</v>
          </cell>
        </row>
        <row r="18">
          <cell r="A18" t="str">
            <v>NE4009</v>
          </cell>
          <cell r="B18">
            <v>15.1386</v>
          </cell>
        </row>
        <row r="19">
          <cell r="A19" t="str">
            <v>NE4009</v>
          </cell>
          <cell r="B19">
            <v>5.7643799501177098</v>
          </cell>
        </row>
        <row r="20">
          <cell r="A20" t="str">
            <v>NE4010</v>
          </cell>
          <cell r="B20">
            <v>11.228899999999999</v>
          </cell>
        </row>
        <row r="21">
          <cell r="A21" t="str">
            <v>NE4010</v>
          </cell>
          <cell r="B21">
            <v>5.7516941536982902</v>
          </cell>
        </row>
        <row r="22">
          <cell r="A22" t="str">
            <v>NE4012</v>
          </cell>
          <cell r="B22">
            <v>19.5243</v>
          </cell>
        </row>
        <row r="23">
          <cell r="A23" t="str">
            <v>NE4012</v>
          </cell>
          <cell r="B23">
            <v>5.7390083572788697</v>
          </cell>
        </row>
        <row r="24">
          <cell r="A24" t="str">
            <v>NE4013</v>
          </cell>
          <cell r="B24">
            <v>9.1304999999999996</v>
          </cell>
        </row>
        <row r="25">
          <cell r="A25" t="str">
            <v>NE4013</v>
          </cell>
          <cell r="B25">
            <v>5.7263225608594501</v>
          </cell>
        </row>
        <row r="26">
          <cell r="A26" t="str">
            <v>NE4014</v>
          </cell>
          <cell r="B26">
            <v>8.7512000000000008</v>
          </cell>
        </row>
        <row r="27">
          <cell r="A27" t="str">
            <v>NE4014</v>
          </cell>
          <cell r="B27">
            <v>5.7136367644400297</v>
          </cell>
        </row>
        <row r="28">
          <cell r="A28" t="str">
            <v>NE4015</v>
          </cell>
          <cell r="B28">
            <v>20.802199999999999</v>
          </cell>
        </row>
        <row r="29">
          <cell r="A29" t="str">
            <v>NE4015</v>
          </cell>
          <cell r="B29">
            <v>5.7009509680206101</v>
          </cell>
        </row>
        <row r="30">
          <cell r="A30" t="str">
            <v>NE4016</v>
          </cell>
          <cell r="B30">
            <v>9.4640000000000004</v>
          </cell>
        </row>
        <row r="31">
          <cell r="A31" t="str">
            <v>NE4016</v>
          </cell>
          <cell r="B31">
            <v>5.6882651716011896</v>
          </cell>
        </row>
        <row r="32">
          <cell r="A32" t="str">
            <v>NE4017</v>
          </cell>
          <cell r="B32">
            <v>11.6906</v>
          </cell>
        </row>
        <row r="33">
          <cell r="A33" t="str">
            <v>NE4017</v>
          </cell>
          <cell r="B33">
            <v>5.67557937518177</v>
          </cell>
        </row>
        <row r="34">
          <cell r="A34" t="str">
            <v>NE4018</v>
          </cell>
          <cell r="B34">
            <v>14.6402</v>
          </cell>
        </row>
        <row r="35">
          <cell r="A35" t="str">
            <v>NE4018</v>
          </cell>
          <cell r="B35">
            <v>5.6628935787623504</v>
          </cell>
        </row>
        <row r="36">
          <cell r="A36" t="str">
            <v>NE4019</v>
          </cell>
          <cell r="B36">
            <v>16.918600000000001</v>
          </cell>
        </row>
        <row r="37">
          <cell r="A37" t="str">
            <v>NE4019</v>
          </cell>
          <cell r="B37">
            <v>5.65020778234293</v>
          </cell>
        </row>
        <row r="38">
          <cell r="A38" t="str">
            <v>NE4019.S001</v>
          </cell>
          <cell r="B38">
            <v>7.9560000000000004</v>
          </cell>
        </row>
        <row r="39">
          <cell r="A39" t="str">
            <v>NE4019.S002</v>
          </cell>
          <cell r="B39">
            <v>7.5612000000000004</v>
          </cell>
        </row>
        <row r="40">
          <cell r="A40" t="str">
            <v>NE4019.S003</v>
          </cell>
          <cell r="B40">
            <v>7.3944999999999999</v>
          </cell>
        </row>
        <row r="41">
          <cell r="A41" t="str">
            <v>NE4019.S004</v>
          </cell>
          <cell r="B41">
            <v>8.0806000000000004</v>
          </cell>
        </row>
        <row r="42">
          <cell r="A42" t="str">
            <v>NE4019.S005</v>
          </cell>
          <cell r="B42">
            <v>7.2789000000000001</v>
          </cell>
        </row>
        <row r="43">
          <cell r="A43" t="str">
            <v>NE4019.S006</v>
          </cell>
          <cell r="B43">
            <v>5.6375219859235104</v>
          </cell>
        </row>
        <row r="44">
          <cell r="A44" t="str">
            <v>NE4019.S007</v>
          </cell>
          <cell r="B44">
            <v>5.6248361895040899</v>
          </cell>
        </row>
        <row r="45">
          <cell r="A45" t="str">
            <v>NE4019.S008</v>
          </cell>
          <cell r="B45">
            <v>5.6121503930846703</v>
          </cell>
        </row>
        <row r="46">
          <cell r="A46" t="str">
            <v>NE4019.S009</v>
          </cell>
          <cell r="B46">
            <v>5.5994645966652499</v>
          </cell>
        </row>
        <row r="47">
          <cell r="A47" t="str">
            <v>NE4019.S010</v>
          </cell>
          <cell r="B47">
            <v>5.5867788002458303</v>
          </cell>
        </row>
        <row r="48">
          <cell r="A48" t="str">
            <v>NE4020</v>
          </cell>
          <cell r="B48">
            <v>9.7838999999999992</v>
          </cell>
        </row>
        <row r="49">
          <cell r="A49" t="str">
            <v>NE4020</v>
          </cell>
          <cell r="B49">
            <v>5.5740930038264098</v>
          </cell>
        </row>
        <row r="50">
          <cell r="A50" t="str">
            <v>NE4021</v>
          </cell>
          <cell r="B50">
            <v>9.0787999999999993</v>
          </cell>
        </row>
        <row r="51">
          <cell r="A51" t="str">
            <v>NE4022</v>
          </cell>
          <cell r="B51">
            <v>15.7196</v>
          </cell>
        </row>
        <row r="52">
          <cell r="A52" t="str">
            <v>NE4023</v>
          </cell>
          <cell r="B52">
            <v>18.476299999999998</v>
          </cell>
        </row>
        <row r="53">
          <cell r="A53" t="str">
            <v>NE4024</v>
          </cell>
          <cell r="B53">
            <v>14.3795</v>
          </cell>
        </row>
        <row r="54">
          <cell r="A54" t="str">
            <v>NE4025</v>
          </cell>
          <cell r="B54">
            <v>8.8272999999999993</v>
          </cell>
        </row>
        <row r="55">
          <cell r="A55" t="str">
            <v>NE4027</v>
          </cell>
          <cell r="B55">
            <v>8.1514000000000006</v>
          </cell>
        </row>
        <row r="56">
          <cell r="A56" t="str">
            <v>NE4028</v>
          </cell>
          <cell r="B56">
            <v>6.8855000000000004</v>
          </cell>
        </row>
        <row r="57">
          <cell r="A57" t="str">
            <v>NE4029</v>
          </cell>
          <cell r="B57">
            <v>17.158999999999999</v>
          </cell>
        </row>
        <row r="58">
          <cell r="A58" t="str">
            <v>NE4030</v>
          </cell>
          <cell r="B58">
            <v>8.3254000000000001</v>
          </cell>
        </row>
        <row r="59">
          <cell r="A59" t="str">
            <v>NE4031</v>
          </cell>
          <cell r="B59">
            <v>11.6645</v>
          </cell>
        </row>
        <row r="60">
          <cell r="A60" t="str">
            <v>NE4031.S001</v>
          </cell>
          <cell r="B60">
            <v>5.9587000000000003</v>
          </cell>
        </row>
        <row r="61">
          <cell r="A61" t="str">
            <v>NE4032</v>
          </cell>
          <cell r="B61">
            <v>7.4653999999999998</v>
          </cell>
        </row>
        <row r="62">
          <cell r="A62" t="str">
            <v>NE4033</v>
          </cell>
          <cell r="B62">
            <v>6.5876000000000001</v>
          </cell>
        </row>
        <row r="63">
          <cell r="A63" t="str">
            <v>NS5001</v>
          </cell>
          <cell r="B63">
            <v>16.450099999999999</v>
          </cell>
        </row>
        <row r="64">
          <cell r="A64" t="str">
            <v>NS5002</v>
          </cell>
          <cell r="B64">
            <v>21.3827</v>
          </cell>
        </row>
        <row r="65">
          <cell r="A65" t="str">
            <v>NS5003</v>
          </cell>
          <cell r="B65">
            <v>22.5594</v>
          </cell>
        </row>
        <row r="66">
          <cell r="A66" t="str">
            <v>NS5004</v>
          </cell>
          <cell r="B66">
            <v>16.045100000000001</v>
          </cell>
        </row>
        <row r="67">
          <cell r="A67" t="str">
            <v>NS5005</v>
          </cell>
          <cell r="B67">
            <v>19.691299999999998</v>
          </cell>
        </row>
        <row r="68">
          <cell r="A68" t="str">
            <v>NS5006</v>
          </cell>
          <cell r="B68">
            <v>25.665400000000002</v>
          </cell>
        </row>
        <row r="69">
          <cell r="A69" t="str">
            <v>NS5007</v>
          </cell>
          <cell r="B69">
            <v>9.3331</v>
          </cell>
        </row>
        <row r="70">
          <cell r="A70" t="str">
            <v>NS5008</v>
          </cell>
          <cell r="B70">
            <v>17.103999999999999</v>
          </cell>
        </row>
        <row r="71">
          <cell r="A71" t="str">
            <v>NS5009</v>
          </cell>
          <cell r="B71">
            <v>13.572100000000001</v>
          </cell>
        </row>
        <row r="72">
          <cell r="A72" t="str">
            <v>NS5010</v>
          </cell>
          <cell r="B72">
            <v>13.195</v>
          </cell>
        </row>
        <row r="73">
          <cell r="A73" t="str">
            <v>NS5011</v>
          </cell>
          <cell r="B73">
            <v>14.6777</v>
          </cell>
        </row>
        <row r="74">
          <cell r="A74" t="str">
            <v>NS5012</v>
          </cell>
          <cell r="B74">
            <v>14.6777</v>
          </cell>
        </row>
        <row r="75">
          <cell r="A75" t="str">
            <v>NS5013</v>
          </cell>
          <cell r="B75">
            <v>16.872399999999999</v>
          </cell>
        </row>
        <row r="76">
          <cell r="A76" t="str">
            <v>NS5014</v>
          </cell>
          <cell r="B76">
            <v>21.509599999999999</v>
          </cell>
        </row>
        <row r="77">
          <cell r="A77" t="str">
            <v>NS5015</v>
          </cell>
          <cell r="B77">
            <v>15.69</v>
          </cell>
        </row>
        <row r="78">
          <cell r="A78" t="str">
            <v>NS5015.S001</v>
          </cell>
          <cell r="B78">
            <v>10.0623</v>
          </cell>
        </row>
        <row r="79">
          <cell r="A79" t="str">
            <v>NS5015.S002</v>
          </cell>
          <cell r="B79">
            <v>10.6073</v>
          </cell>
        </row>
        <row r="80">
          <cell r="A80" t="str">
            <v>NS5015.S003</v>
          </cell>
          <cell r="B80">
            <v>9.9100999999999999</v>
          </cell>
        </row>
        <row r="81">
          <cell r="A81" t="str">
            <v>NS5015.S004</v>
          </cell>
          <cell r="B81">
            <v>6.9173999999999998</v>
          </cell>
        </row>
        <row r="82">
          <cell r="A82" t="str">
            <v>NS5015.S005</v>
          </cell>
          <cell r="B82">
            <v>9.8962000000000003</v>
          </cell>
        </row>
        <row r="83">
          <cell r="A83" t="str">
            <v>NS5015.S006</v>
          </cell>
          <cell r="B83">
            <v>9.8962000000000003</v>
          </cell>
        </row>
        <row r="84">
          <cell r="A84" t="str">
            <v>NS5016</v>
          </cell>
          <cell r="B84">
            <v>24.632400000000001</v>
          </cell>
        </row>
        <row r="85">
          <cell r="A85" t="str">
            <v>NS5017</v>
          </cell>
          <cell r="B85">
            <v>20.200800000000001</v>
          </cell>
        </row>
        <row r="86">
          <cell r="A86" t="str">
            <v>NS5050</v>
          </cell>
          <cell r="B86">
            <v>10.5313</v>
          </cell>
        </row>
        <row r="87">
          <cell r="A87" t="str">
            <v>NS5051</v>
          </cell>
          <cell r="B87">
            <v>12.170199999999999</v>
          </cell>
        </row>
        <row r="88">
          <cell r="A88" t="str">
            <v>NS5052</v>
          </cell>
          <cell r="B88">
            <v>14.451499999999999</v>
          </cell>
        </row>
        <row r="89">
          <cell r="A89" t="str">
            <v>NS5053</v>
          </cell>
          <cell r="B89">
            <v>11.0344</v>
          </cell>
        </row>
        <row r="90">
          <cell r="A90" t="str">
            <v>NS5054</v>
          </cell>
          <cell r="B90">
            <v>4.9283999999999999</v>
          </cell>
        </row>
        <row r="91">
          <cell r="A91" t="str">
            <v>NS5055</v>
          </cell>
          <cell r="B91">
            <v>13.318899999999999</v>
          </cell>
        </row>
        <row r="92">
          <cell r="A92" t="str">
            <v>NS5056</v>
          </cell>
          <cell r="B92">
            <v>15.259600000000001</v>
          </cell>
        </row>
        <row r="93">
          <cell r="A93" t="str">
            <v>NS5057</v>
          </cell>
          <cell r="B93">
            <v>19.988900000000001</v>
          </cell>
        </row>
        <row r="94">
          <cell r="A94" t="str">
            <v>NS5058</v>
          </cell>
          <cell r="B94">
            <v>19.9072</v>
          </cell>
        </row>
        <row r="95">
          <cell r="A95" t="str">
            <v>NS5059</v>
          </cell>
          <cell r="B95">
            <v>16.035699999999999</v>
          </cell>
        </row>
        <row r="96">
          <cell r="A96" t="str">
            <v>NS5060</v>
          </cell>
          <cell r="B96">
            <v>13.531499999999999</v>
          </cell>
        </row>
        <row r="97">
          <cell r="A97" t="str">
            <v>NS5061</v>
          </cell>
          <cell r="B97">
            <v>18.7348</v>
          </cell>
        </row>
        <row r="98">
          <cell r="A98" t="str">
            <v>NS5120</v>
          </cell>
          <cell r="B98">
            <v>22.799700000000001</v>
          </cell>
        </row>
        <row r="99">
          <cell r="A99" t="str">
            <v>NS5140</v>
          </cell>
          <cell r="B99">
            <v>20.581199999999999</v>
          </cell>
        </row>
        <row r="100">
          <cell r="A100" t="str">
            <v>NS5141</v>
          </cell>
          <cell r="B100">
            <v>13.4992</v>
          </cell>
        </row>
        <row r="101">
          <cell r="A101" t="str">
            <v>NS5142</v>
          </cell>
          <cell r="B101">
            <v>23.835100000000001</v>
          </cell>
        </row>
        <row r="102">
          <cell r="A102" t="str">
            <v>NS5143</v>
          </cell>
          <cell r="B102">
            <v>25.8094</v>
          </cell>
        </row>
        <row r="103">
          <cell r="A103" t="str">
            <v>NS5144</v>
          </cell>
          <cell r="B103">
            <v>15.3095</v>
          </cell>
        </row>
        <row r="104">
          <cell r="A104" t="str">
            <v>NS5145</v>
          </cell>
          <cell r="B104">
            <v>19.7727</v>
          </cell>
        </row>
        <row r="105">
          <cell r="A105" t="str">
            <v>NS5146</v>
          </cell>
          <cell r="B105">
            <v>12.562799999999999</v>
          </cell>
        </row>
        <row r="106">
          <cell r="A106" t="str">
            <v>NS5147</v>
          </cell>
          <cell r="B106">
            <v>13.1195</v>
          </cell>
        </row>
        <row r="107">
          <cell r="A107" t="str">
            <v>NS5148</v>
          </cell>
          <cell r="B107">
            <v>8.0152999999999999</v>
          </cell>
        </row>
        <row r="108">
          <cell r="A108" t="str">
            <v>NS5149</v>
          </cell>
          <cell r="B108">
            <v>7.1919000000000004</v>
          </cell>
        </row>
        <row r="109">
          <cell r="A109" t="str">
            <v>NS5150</v>
          </cell>
          <cell r="B109">
            <v>10.012700000000001</v>
          </cell>
        </row>
        <row r="110">
          <cell r="A110" t="str">
            <v>NS5700</v>
          </cell>
          <cell r="B110">
            <v>5.4846000000000004</v>
          </cell>
        </row>
        <row r="111">
          <cell r="A111" t="str">
            <v>NS5701</v>
          </cell>
          <cell r="B111">
            <v>5.3495999999999997</v>
          </cell>
        </row>
        <row r="112">
          <cell r="A112" t="str">
            <v>NS5702</v>
          </cell>
          <cell r="B112">
            <v>5.2632000000000003</v>
          </cell>
        </row>
        <row r="113">
          <cell r="A113" t="str">
            <v>NS5703</v>
          </cell>
          <cell r="B113">
            <v>5.3872</v>
          </cell>
        </row>
        <row r="114">
          <cell r="A114" t="str">
            <v>NS5704</v>
          </cell>
          <cell r="B114">
            <v>5.2365000000000004</v>
          </cell>
        </row>
        <row r="115">
          <cell r="A115" t="str">
            <v>NS5705</v>
          </cell>
          <cell r="B115">
            <v>5.2632000000000003</v>
          </cell>
        </row>
        <row r="116">
          <cell r="A116" t="str">
            <v>NS5706</v>
          </cell>
          <cell r="B116">
            <v>4.9194000000000004</v>
          </cell>
        </row>
        <row r="117">
          <cell r="A117" t="str">
            <v>NS5707</v>
          </cell>
          <cell r="B117">
            <v>5.3045</v>
          </cell>
        </row>
        <row r="118">
          <cell r="A118" t="str">
            <v>NS5708</v>
          </cell>
          <cell r="B118">
            <v>5.4020000000000001</v>
          </cell>
        </row>
        <row r="119">
          <cell r="A119" t="str">
            <v>NS5709</v>
          </cell>
          <cell r="B119">
            <v>4.9127999999999998</v>
          </cell>
        </row>
        <row r="120">
          <cell r="A120" t="str">
            <v>NS5710</v>
          </cell>
          <cell r="B120">
            <v>5.5403000000000002</v>
          </cell>
        </row>
        <row r="121">
          <cell r="A121" t="str">
            <v>NS5711</v>
          </cell>
          <cell r="B121">
            <v>5.2778</v>
          </cell>
        </row>
        <row r="122">
          <cell r="A122" t="str">
            <v>NS5712</v>
          </cell>
          <cell r="B122">
            <v>5.1329000000000002</v>
          </cell>
        </row>
        <row r="123">
          <cell r="A123" t="str">
            <v>NS5713</v>
          </cell>
          <cell r="B123">
            <v>4.9177999999999997</v>
          </cell>
        </row>
        <row r="124">
          <cell r="A124" t="str">
            <v>NS5714</v>
          </cell>
          <cell r="B124">
            <v>5.2365000000000004</v>
          </cell>
        </row>
        <row r="125">
          <cell r="A125" t="str">
            <v>NS5715</v>
          </cell>
          <cell r="B125">
            <v>5.1489000000000003</v>
          </cell>
        </row>
        <row r="126">
          <cell r="A126" t="str">
            <v>NS5716</v>
          </cell>
          <cell r="B126">
            <v>5.2728999999999999</v>
          </cell>
        </row>
        <row r="127">
          <cell r="A127" t="str">
            <v>NS5717</v>
          </cell>
          <cell r="B127">
            <v>8.16</v>
          </cell>
        </row>
        <row r="128">
          <cell r="A128" t="str">
            <v>NS5718</v>
          </cell>
          <cell r="B128">
            <v>5.3956</v>
          </cell>
        </row>
        <row r="129">
          <cell r="A129" t="str">
            <v>NS5719</v>
          </cell>
          <cell r="B129">
            <v>5.2632000000000003</v>
          </cell>
        </row>
        <row r="130">
          <cell r="A130" t="str">
            <v>NS5720</v>
          </cell>
          <cell r="B130">
            <v>6.6661000000000001</v>
          </cell>
        </row>
        <row r="131">
          <cell r="A131" t="str">
            <v>NS5721</v>
          </cell>
          <cell r="B131">
            <v>5.4162999999999997</v>
          </cell>
        </row>
        <row r="132">
          <cell r="A132" t="str">
            <v>NS5750</v>
          </cell>
          <cell r="B132">
            <v>9.7805999999999997</v>
          </cell>
        </row>
        <row r="133">
          <cell r="A133" t="str">
            <v>NS5751</v>
          </cell>
          <cell r="B133">
            <v>7.4444999999999997</v>
          </cell>
        </row>
        <row r="134">
          <cell r="A134" t="str">
            <v>NS5752</v>
          </cell>
          <cell r="B134">
            <v>5.5195999999999996</v>
          </cell>
        </row>
        <row r="135">
          <cell r="A135" t="str">
            <v>NS5753</v>
          </cell>
          <cell r="B135">
            <v>5.5023</v>
          </cell>
        </row>
        <row r="136">
          <cell r="A136" t="str">
            <v>NS5754</v>
          </cell>
          <cell r="B136">
            <v>5.8654000000000002</v>
          </cell>
        </row>
        <row r="137">
          <cell r="A137" t="str">
            <v>NS5755</v>
          </cell>
          <cell r="B137">
            <v>5.3992000000000004</v>
          </cell>
        </row>
        <row r="138">
          <cell r="A138" t="str">
            <v>NS5756</v>
          </cell>
          <cell r="B138">
            <v>5.3388</v>
          </cell>
        </row>
        <row r="139">
          <cell r="A139" t="str">
            <v>NS5757</v>
          </cell>
          <cell r="B139">
            <v>5.4320000000000004</v>
          </cell>
        </row>
        <row r="140">
          <cell r="A140" t="str">
            <v>NS5758</v>
          </cell>
          <cell r="B140">
            <v>5.2598000000000003</v>
          </cell>
        </row>
        <row r="141">
          <cell r="A141" t="str">
            <v>NS5759</v>
          </cell>
          <cell r="B141">
            <v>5.0083000000000002</v>
          </cell>
        </row>
        <row r="142">
          <cell r="A142" t="str">
            <v>NS5760</v>
          </cell>
          <cell r="B142">
            <v>3.8660000000000001</v>
          </cell>
        </row>
        <row r="143">
          <cell r="A143" t="str">
            <v>NS5761</v>
          </cell>
          <cell r="B143">
            <v>4.9382000000000001</v>
          </cell>
        </row>
        <row r="144">
          <cell r="A144" t="str">
            <v>NS5762</v>
          </cell>
          <cell r="B144">
            <v>3.9592000000000001</v>
          </cell>
        </row>
        <row r="145">
          <cell r="A145" t="str">
            <v>NS5763</v>
          </cell>
          <cell r="B145">
            <v>5.0083000000000002</v>
          </cell>
        </row>
        <row r="146">
          <cell r="A146" t="str">
            <v>NS5764</v>
          </cell>
          <cell r="B146">
            <v>7.0011999999999999</v>
          </cell>
        </row>
        <row r="147">
          <cell r="A147" t="str">
            <v>NS5802</v>
          </cell>
          <cell r="B147">
            <v>11.166600000000001</v>
          </cell>
        </row>
        <row r="148">
          <cell r="A148" t="str">
            <v>NS5803</v>
          </cell>
          <cell r="B148">
            <v>15.2615</v>
          </cell>
        </row>
        <row r="149">
          <cell r="A149" t="str">
            <v>NS5805</v>
          </cell>
          <cell r="B149">
            <v>6.3529</v>
          </cell>
        </row>
        <row r="150">
          <cell r="A150" t="str">
            <v>NS5806</v>
          </cell>
          <cell r="B150">
            <v>4.2464000000000004</v>
          </cell>
        </row>
        <row r="151">
          <cell r="A151" t="str">
            <v>NS5807</v>
          </cell>
          <cell r="B151">
            <v>4.6325000000000003</v>
          </cell>
        </row>
        <row r="152">
          <cell r="A152" t="str">
            <v>NS5808</v>
          </cell>
          <cell r="B152">
            <v>5.7117000000000004</v>
          </cell>
        </row>
        <row r="153">
          <cell r="A153" t="str">
            <v>NS5809</v>
          </cell>
          <cell r="B153">
            <v>5.6182999999999996</v>
          </cell>
        </row>
        <row r="154">
          <cell r="A154" t="str">
            <v>NS5810</v>
          </cell>
          <cell r="B154">
            <v>7.1840999999999999</v>
          </cell>
        </row>
        <row r="155">
          <cell r="A155" t="str">
            <v>NS5811</v>
          </cell>
          <cell r="B155">
            <v>5.4781000000000004</v>
          </cell>
        </row>
        <row r="156">
          <cell r="A156" t="str">
            <v>NS5812</v>
          </cell>
          <cell r="B156">
            <v>5.7595000000000001</v>
          </cell>
        </row>
        <row r="157">
          <cell r="A157" t="str">
            <v>NS5813</v>
          </cell>
          <cell r="B157">
            <v>5.3731999999999998</v>
          </cell>
        </row>
        <row r="158">
          <cell r="A158" t="str">
            <v>NS5814</v>
          </cell>
          <cell r="B158">
            <v>4.1859999999999999</v>
          </cell>
        </row>
        <row r="159">
          <cell r="A159" t="str">
            <v>NS5815</v>
          </cell>
          <cell r="B159">
            <v>5.6738</v>
          </cell>
        </row>
        <row r="160">
          <cell r="A160" t="str">
            <v>NS5816</v>
          </cell>
          <cell r="B160">
            <v>10.759</v>
          </cell>
        </row>
        <row r="161">
          <cell r="A161" t="str">
            <v>NS5817</v>
          </cell>
          <cell r="B161">
            <v>8.7584999999999997</v>
          </cell>
        </row>
        <row r="162">
          <cell r="A162" t="str">
            <v>NS5818</v>
          </cell>
          <cell r="B162">
            <v>7.3224</v>
          </cell>
        </row>
        <row r="163">
          <cell r="A163" t="str">
            <v>NS5819</v>
          </cell>
          <cell r="B163">
            <v>5.4992999999999999</v>
          </cell>
        </row>
        <row r="164">
          <cell r="A164" t="str">
            <v>NS5820</v>
          </cell>
          <cell r="B164">
            <v>9.4727999999999994</v>
          </cell>
        </row>
        <row r="165">
          <cell r="A165" t="str">
            <v>NS5821</v>
          </cell>
          <cell r="B165">
            <v>7.0583</v>
          </cell>
        </row>
        <row r="166">
          <cell r="A166" t="str">
            <v>NS5822</v>
          </cell>
          <cell r="B166">
            <v>8.7406000000000006</v>
          </cell>
        </row>
        <row r="167">
          <cell r="A167" t="str">
            <v>NS5823</v>
          </cell>
          <cell r="B167">
            <v>6.8878000000000004</v>
          </cell>
        </row>
        <row r="168">
          <cell r="A168" t="str">
            <v>NS5824</v>
          </cell>
          <cell r="B168">
            <v>6.8878000000000004</v>
          </cell>
        </row>
        <row r="169">
          <cell r="A169" t="str">
            <v>NS5825</v>
          </cell>
          <cell r="B169">
            <v>6.9497</v>
          </cell>
        </row>
        <row r="170">
          <cell r="A170" t="str">
            <v>NS5826</v>
          </cell>
          <cell r="B170">
            <v>3.9506000000000001</v>
          </cell>
        </row>
        <row r="171">
          <cell r="A171" t="str">
            <v>NS5827</v>
          </cell>
          <cell r="B171">
            <v>7.2950999999999997</v>
          </cell>
        </row>
        <row r="172">
          <cell r="A172" t="str">
            <v>NS5828</v>
          </cell>
          <cell r="B172">
            <v>10.528700000000001</v>
          </cell>
        </row>
        <row r="173">
          <cell r="A173" t="str">
            <v>NS5829</v>
          </cell>
          <cell r="B173">
            <v>4.8102</v>
          </cell>
        </row>
        <row r="174">
          <cell r="A174" t="str">
            <v>NS5830</v>
          </cell>
          <cell r="B174">
            <v>4.1859999999999999</v>
          </cell>
        </row>
        <row r="175">
          <cell r="A175" t="str">
            <v>NS5831</v>
          </cell>
          <cell r="B175">
            <v>5.7264999999999997</v>
          </cell>
        </row>
        <row r="176">
          <cell r="A176" t="str">
            <v>NS5832</v>
          </cell>
          <cell r="B176">
            <v>4.3658999999999999</v>
          </cell>
        </row>
        <row r="177">
          <cell r="A177" t="str">
            <v>NS5833</v>
          </cell>
          <cell r="B177">
            <v>6.9389000000000003</v>
          </cell>
        </row>
        <row r="178">
          <cell r="A178" t="str">
            <v>NS5834</v>
          </cell>
          <cell r="B178">
            <v>5.4099000000000004</v>
          </cell>
        </row>
        <row r="179">
          <cell r="A179" t="str">
            <v>NS5835</v>
          </cell>
          <cell r="B179">
            <v>5.3089000000000004</v>
          </cell>
        </row>
        <row r="180">
          <cell r="A180" t="str">
            <v>NS5836</v>
          </cell>
          <cell r="B180">
            <v>5.3178000000000001</v>
          </cell>
        </row>
        <row r="181">
          <cell r="A181" t="str">
            <v>NS5837</v>
          </cell>
          <cell r="B181">
            <v>7.1173000000000002</v>
          </cell>
        </row>
        <row r="182">
          <cell r="A182" t="str">
            <v>NS5838</v>
          </cell>
          <cell r="B182">
            <v>8.8932000000000002</v>
          </cell>
        </row>
        <row r="183">
          <cell r="A183" t="str">
            <v>NS5839</v>
          </cell>
          <cell r="B183">
            <v>4.5578000000000003</v>
          </cell>
        </row>
        <row r="184">
          <cell r="A184" t="str">
            <v>NS5840</v>
          </cell>
          <cell r="B184">
            <v>5.2523</v>
          </cell>
        </row>
        <row r="185">
          <cell r="A185" t="str">
            <v>NS5841</v>
          </cell>
          <cell r="B185">
            <v>4.5444000000000004</v>
          </cell>
        </row>
        <row r="186">
          <cell r="A186" t="str">
            <v>NS5842</v>
          </cell>
          <cell r="B186">
            <v>4.3825000000000003</v>
          </cell>
        </row>
        <row r="187">
          <cell r="A187" t="str">
            <v>NS5843</v>
          </cell>
          <cell r="B187">
            <v>4.5590999999999999</v>
          </cell>
        </row>
        <row r="188">
          <cell r="A188" t="str">
            <v>NS5844</v>
          </cell>
          <cell r="B188">
            <v>5.7590000000000003</v>
          </cell>
        </row>
        <row r="189">
          <cell r="A189" t="str">
            <v>NS5845</v>
          </cell>
          <cell r="B189">
            <v>8.4673999999999996</v>
          </cell>
        </row>
        <row r="190">
          <cell r="A190" t="str">
            <v>NS5846</v>
          </cell>
          <cell r="B190">
            <v>9.1862999999999992</v>
          </cell>
        </row>
        <row r="191">
          <cell r="A191" t="str">
            <v>NS5847</v>
          </cell>
          <cell r="B191">
            <v>8.8327000000000009</v>
          </cell>
        </row>
        <row r="192">
          <cell r="A192" t="str">
            <v>NS5848</v>
          </cell>
          <cell r="B192">
            <v>9.1067999999999998</v>
          </cell>
        </row>
        <row r="193">
          <cell r="A193" t="str">
            <v>NS5849</v>
          </cell>
          <cell r="B193">
            <v>12.950100000000001</v>
          </cell>
        </row>
        <row r="194">
          <cell r="A194" t="str">
            <v>NS5850</v>
          </cell>
          <cell r="B194">
            <v>9.2406000000000006</v>
          </cell>
        </row>
        <row r="195">
          <cell r="A195" t="str">
            <v>NS5851</v>
          </cell>
          <cell r="B195">
            <v>9.0434000000000001</v>
          </cell>
        </row>
        <row r="196">
          <cell r="A196" t="str">
            <v>NS5852</v>
          </cell>
          <cell r="B196">
            <v>5.8471000000000002</v>
          </cell>
        </row>
        <row r="197">
          <cell r="A197" t="str">
            <v>NS5853</v>
          </cell>
          <cell r="B197">
            <v>8.6156000000000006</v>
          </cell>
        </row>
        <row r="198">
          <cell r="A198" t="str">
            <v>NS5854</v>
          </cell>
          <cell r="B198">
            <v>6.9680999999999997</v>
          </cell>
        </row>
        <row r="199">
          <cell r="A199" t="str">
            <v>NS5855</v>
          </cell>
          <cell r="B199">
            <v>5.9</v>
          </cell>
        </row>
        <row r="200">
          <cell r="A200" t="str">
            <v>NS5856</v>
          </cell>
          <cell r="B200">
            <v>4.6300999999999997</v>
          </cell>
        </row>
        <row r="201">
          <cell r="A201" t="str">
            <v>NS5857</v>
          </cell>
          <cell r="B201">
            <v>10.204499999999999</v>
          </cell>
        </row>
        <row r="202">
          <cell r="A202" t="str">
            <v>NS5858</v>
          </cell>
          <cell r="B202">
            <v>9.0326000000000004</v>
          </cell>
        </row>
        <row r="203">
          <cell r="A203" t="str">
            <v>NS5859</v>
          </cell>
          <cell r="B203">
            <v>5.3055000000000003</v>
          </cell>
        </row>
        <row r="204">
          <cell r="A204" t="str">
            <v>NS5860</v>
          </cell>
          <cell r="B204">
            <v>6.8611000000000004</v>
          </cell>
        </row>
        <row r="205">
          <cell r="A205" t="str">
            <v>NS5861</v>
          </cell>
          <cell r="B205">
            <v>7.0317999999999996</v>
          </cell>
        </row>
        <row r="206">
          <cell r="A206" t="str">
            <v>NS5862</v>
          </cell>
          <cell r="B206">
            <v>5.7515000000000001</v>
          </cell>
        </row>
        <row r="207">
          <cell r="A207" t="str">
            <v>NS5863</v>
          </cell>
          <cell r="B207">
            <v>7.1745999999999999</v>
          </cell>
        </row>
        <row r="208">
          <cell r="A208" t="str">
            <v>NS5864</v>
          </cell>
          <cell r="B208">
            <v>9.7005999999999997</v>
          </cell>
        </row>
        <row r="209">
          <cell r="A209" t="str">
            <v>NS5865</v>
          </cell>
          <cell r="B209">
            <v>7.3098999999999998</v>
          </cell>
        </row>
        <row r="210">
          <cell r="A210" t="str">
            <v>NS5866</v>
          </cell>
          <cell r="B210">
            <v>4.8091999999999997</v>
          </cell>
        </row>
        <row r="211">
          <cell r="A211" t="str">
            <v>NS5867</v>
          </cell>
          <cell r="B211">
            <v>4.9124999999999996</v>
          </cell>
        </row>
        <row r="212">
          <cell r="A212" t="str">
            <v>NS5868</v>
          </cell>
          <cell r="B212">
            <v>9.0813000000000006</v>
          </cell>
        </row>
        <row r="213">
          <cell r="A213" t="str">
            <v>NS5869</v>
          </cell>
          <cell r="B213">
            <v>6.2249999999999996</v>
          </cell>
        </row>
        <row r="214">
          <cell r="A214" t="str">
            <v>NS5870</v>
          </cell>
          <cell r="B214">
            <v>5.8654000000000002</v>
          </cell>
        </row>
        <row r="215">
          <cell r="A215" t="str">
            <v>NS5871</v>
          </cell>
          <cell r="B215">
            <v>5.9191000000000003</v>
          </cell>
        </row>
        <row r="216">
          <cell r="A216" t="str">
            <v>NS5872</v>
          </cell>
          <cell r="B216">
            <v>4.6858000000000004</v>
          </cell>
        </row>
        <row r="217">
          <cell r="A217" t="str">
            <v>NS5873</v>
          </cell>
          <cell r="B217">
            <v>5.4527000000000001</v>
          </cell>
        </row>
        <row r="218">
          <cell r="A218" t="str">
            <v>NW3001</v>
          </cell>
          <cell r="B218">
            <v>14.547800000000001</v>
          </cell>
        </row>
        <row r="219">
          <cell r="A219" t="str">
            <v>NW3002</v>
          </cell>
          <cell r="B219">
            <v>11.035</v>
          </cell>
        </row>
        <row r="220">
          <cell r="A220" t="str">
            <v>NW3003</v>
          </cell>
          <cell r="B220">
            <v>8.7798999999999996</v>
          </cell>
        </row>
        <row r="221">
          <cell r="A221" t="str">
            <v>NW3004</v>
          </cell>
          <cell r="B221">
            <v>18.971</v>
          </cell>
        </row>
        <row r="222">
          <cell r="A222" t="str">
            <v>NW3005</v>
          </cell>
          <cell r="B222">
            <v>3.8582999999999998</v>
          </cell>
        </row>
        <row r="223">
          <cell r="A223" t="str">
            <v>NW3100</v>
          </cell>
          <cell r="B223">
            <v>17.7653</v>
          </cell>
        </row>
        <row r="224">
          <cell r="A224" t="str">
            <v>NW3101</v>
          </cell>
          <cell r="B224">
            <v>12.2659</v>
          </cell>
        </row>
        <row r="225">
          <cell r="A225" t="str">
            <v>NW3102</v>
          </cell>
          <cell r="B225">
            <v>11.0886</v>
          </cell>
        </row>
        <row r="226">
          <cell r="A226" t="str">
            <v>NW3103</v>
          </cell>
          <cell r="B226">
            <v>15.3969</v>
          </cell>
        </row>
        <row r="227">
          <cell r="A227" t="str">
            <v>NW3104</v>
          </cell>
          <cell r="B227">
            <v>9.1157000000000004</v>
          </cell>
        </row>
        <row r="228">
          <cell r="A228" t="str">
            <v>NW3105</v>
          </cell>
          <cell r="B228">
            <v>15.421799999999999</v>
          </cell>
        </row>
        <row r="229">
          <cell r="A229" t="str">
            <v>NW3105.S001</v>
          </cell>
          <cell r="B229">
            <v>8.7994000000000003</v>
          </cell>
        </row>
        <row r="230">
          <cell r="A230" t="str">
            <v>NW3105.S002</v>
          </cell>
          <cell r="B230">
            <v>8.7994000000000003</v>
          </cell>
        </row>
        <row r="231">
          <cell r="A231" t="str">
            <v>NW3106</v>
          </cell>
          <cell r="B231">
            <v>6.9969999999999999</v>
          </cell>
        </row>
        <row r="232">
          <cell r="A232" t="str">
            <v>NW3106.S001</v>
          </cell>
          <cell r="B232">
            <v>7.5650000000000004</v>
          </cell>
        </row>
        <row r="233">
          <cell r="A233" t="str">
            <v>NW3107</v>
          </cell>
          <cell r="B233">
            <v>21.508700000000001</v>
          </cell>
        </row>
        <row r="234">
          <cell r="A234" t="str">
            <v>NW3108</v>
          </cell>
          <cell r="B234">
            <v>20.632899999999999</v>
          </cell>
        </row>
        <row r="235">
          <cell r="A235" t="str">
            <v>NW3108.S001</v>
          </cell>
          <cell r="B235">
            <v>10.155900000000001</v>
          </cell>
        </row>
        <row r="236">
          <cell r="A236" t="str">
            <v>NW3109</v>
          </cell>
          <cell r="B236">
            <v>11.8589</v>
          </cell>
        </row>
        <row r="237">
          <cell r="A237" t="str">
            <v>NW3109.S001</v>
          </cell>
          <cell r="B237">
            <v>6.0651999999999999</v>
          </cell>
        </row>
        <row r="238">
          <cell r="A238" t="str">
            <v>NW3110</v>
          </cell>
          <cell r="B238">
            <v>10.974600000000001</v>
          </cell>
        </row>
        <row r="239">
          <cell r="A239" t="str">
            <v>NW3110.S001</v>
          </cell>
          <cell r="B239">
            <v>5.4824000000000002</v>
          </cell>
        </row>
        <row r="240">
          <cell r="A240" t="str">
            <v>NW3110.S002</v>
          </cell>
          <cell r="B240">
            <v>5.5476000000000001</v>
          </cell>
        </row>
        <row r="241">
          <cell r="A241" t="str">
            <v>NW3110.S003</v>
          </cell>
          <cell r="B241">
            <v>5.4436999999999998</v>
          </cell>
        </row>
        <row r="242">
          <cell r="A242" t="str">
            <v>NW3111</v>
          </cell>
          <cell r="B242">
            <v>7.5279999999999996</v>
          </cell>
        </row>
        <row r="243">
          <cell r="A243" t="str">
            <v>NW3112</v>
          </cell>
          <cell r="B243">
            <v>10.6258</v>
          </cell>
        </row>
        <row r="244">
          <cell r="A244" t="str">
            <v>NW3113</v>
          </cell>
          <cell r="B244">
            <v>12.5075</v>
          </cell>
        </row>
        <row r="245">
          <cell r="A245" t="str">
            <v>NW3114</v>
          </cell>
          <cell r="B245">
            <v>11.1472</v>
          </cell>
        </row>
        <row r="246">
          <cell r="A246" t="str">
            <v>NW3115</v>
          </cell>
          <cell r="B246">
            <v>13.6967</v>
          </cell>
        </row>
        <row r="247">
          <cell r="A247" t="str">
            <v>NW3116</v>
          </cell>
          <cell r="B247">
            <v>10.402799999999999</v>
          </cell>
        </row>
        <row r="248">
          <cell r="A248" t="str">
            <v>NW3117</v>
          </cell>
          <cell r="B248">
            <v>15.7845</v>
          </cell>
        </row>
        <row r="249">
          <cell r="A249" t="str">
            <v>NW3118</v>
          </cell>
          <cell r="B249">
            <v>11.6717</v>
          </cell>
        </row>
        <row r="250">
          <cell r="A250" t="str">
            <v>NW3119</v>
          </cell>
          <cell r="B250">
            <v>14.138</v>
          </cell>
        </row>
        <row r="251">
          <cell r="A251" t="str">
            <v>NW3120</v>
          </cell>
          <cell r="B251">
            <v>12.513400000000001</v>
          </cell>
        </row>
        <row r="252">
          <cell r="A252" t="str">
            <v>NW3121</v>
          </cell>
          <cell r="B252">
            <v>8.6632999999999996</v>
          </cell>
        </row>
        <row r="253">
          <cell r="A253" t="str">
            <v>NW3122</v>
          </cell>
          <cell r="B253">
            <v>16.211600000000001</v>
          </cell>
        </row>
        <row r="254">
          <cell r="A254" t="str">
            <v>NW3124</v>
          </cell>
          <cell r="B254">
            <v>12.432399999999999</v>
          </cell>
        </row>
        <row r="255">
          <cell r="A255" t="str">
            <v>NW3125</v>
          </cell>
          <cell r="B255">
            <v>16.017900000000001</v>
          </cell>
        </row>
        <row r="256">
          <cell r="A256" t="str">
            <v>NW3126</v>
          </cell>
          <cell r="B256">
            <v>14.775499999999999</v>
          </cell>
        </row>
        <row r="257">
          <cell r="A257" t="str">
            <v>NW3127</v>
          </cell>
          <cell r="B257">
            <v>9.2729999999999997</v>
          </cell>
        </row>
        <row r="258">
          <cell r="A258" t="str">
            <v>NW3128</v>
          </cell>
          <cell r="B258">
            <v>12.557</v>
          </cell>
        </row>
        <row r="259">
          <cell r="A259" t="str">
            <v>NW3128.S001</v>
          </cell>
          <cell r="B259">
            <v>10.1241</v>
          </cell>
        </row>
        <row r="260">
          <cell r="A260" t="str">
            <v>NW3128.S002</v>
          </cell>
          <cell r="B260">
            <v>10.1241</v>
          </cell>
        </row>
        <row r="261">
          <cell r="A261" t="str">
            <v>NW3129</v>
          </cell>
          <cell r="B261">
            <v>12.597300000000001</v>
          </cell>
        </row>
        <row r="262">
          <cell r="A262" t="str">
            <v>NW3800</v>
          </cell>
          <cell r="B262">
            <v>9.3683999999999994</v>
          </cell>
        </row>
        <row r="263">
          <cell r="A263" t="str">
            <v>NW3801</v>
          </cell>
          <cell r="B263">
            <v>5.3760000000000003</v>
          </cell>
        </row>
        <row r="264">
          <cell r="A264" t="str">
            <v>NW3802</v>
          </cell>
          <cell r="B264">
            <v>5.3871000000000002</v>
          </cell>
        </row>
        <row r="265">
          <cell r="A265" t="str">
            <v>NW3803</v>
          </cell>
          <cell r="B265">
            <v>5.6104000000000003</v>
          </cell>
        </row>
        <row r="266">
          <cell r="A266" t="str">
            <v>NW3804</v>
          </cell>
          <cell r="B266">
            <v>4.1060999999999996</v>
          </cell>
        </row>
        <row r="267">
          <cell r="A267" t="str">
            <v>NW3805</v>
          </cell>
          <cell r="B267">
            <v>4.8912000000000004</v>
          </cell>
        </row>
        <row r="268">
          <cell r="A268" t="str">
            <v>NW3806</v>
          </cell>
          <cell r="B268">
            <v>10.4123</v>
          </cell>
        </row>
        <row r="269">
          <cell r="A269" t="str">
            <v>NW3807</v>
          </cell>
          <cell r="B269">
            <v>5.7198000000000002</v>
          </cell>
        </row>
        <row r="270">
          <cell r="A270" t="str">
            <v>NW3808</v>
          </cell>
          <cell r="B270">
            <v>5.5010000000000003</v>
          </cell>
        </row>
        <row r="271">
          <cell r="A271" t="str">
            <v>NW3809</v>
          </cell>
          <cell r="B271">
            <v>5.4851000000000001</v>
          </cell>
        </row>
        <row r="272">
          <cell r="A272" t="str">
            <v>NW3810</v>
          </cell>
          <cell r="B272">
            <v>5.4983000000000004</v>
          </cell>
        </row>
        <row r="273">
          <cell r="A273" t="str">
            <v>NW3811</v>
          </cell>
          <cell r="B273">
            <v>5.1059999999999999</v>
          </cell>
        </row>
        <row r="274">
          <cell r="A274" t="str">
            <v>NW3812</v>
          </cell>
          <cell r="B274">
            <v>5.4358000000000004</v>
          </cell>
        </row>
        <row r="275">
          <cell r="A275" t="str">
            <v>NW3813</v>
          </cell>
          <cell r="B275">
            <v>5.4301000000000004</v>
          </cell>
        </row>
        <row r="276">
          <cell r="A276" t="str">
            <v>NW3814</v>
          </cell>
          <cell r="B276">
            <v>5.6555</v>
          </cell>
        </row>
        <row r="277">
          <cell r="A277" t="str">
            <v>NW3815</v>
          </cell>
          <cell r="B277">
            <v>5.6422999999999996</v>
          </cell>
        </row>
        <row r="278">
          <cell r="A278" t="str">
            <v>NW3816</v>
          </cell>
          <cell r="B278">
            <v>4.8826000000000001</v>
          </cell>
        </row>
        <row r="279">
          <cell r="A279" t="str">
            <v>NW3817</v>
          </cell>
          <cell r="B279">
            <v>6.8868999999999998</v>
          </cell>
        </row>
        <row r="280">
          <cell r="A280" t="str">
            <v>NW3818</v>
          </cell>
          <cell r="B280">
            <v>6.4699</v>
          </cell>
        </row>
        <row r="281">
          <cell r="A281" t="str">
            <v>NW3819</v>
          </cell>
          <cell r="B281">
            <v>6.5110000000000001</v>
          </cell>
        </row>
        <row r="282">
          <cell r="A282" t="str">
            <v>NW3820</v>
          </cell>
          <cell r="B282">
            <v>5.7971000000000004</v>
          </cell>
        </row>
        <row r="283">
          <cell r="A283" t="str">
            <v>NW3821</v>
          </cell>
          <cell r="B283">
            <v>5.1048999999999998</v>
          </cell>
        </row>
        <row r="284">
          <cell r="A284" t="str">
            <v>NW3822</v>
          </cell>
          <cell r="B284">
            <v>5.5738000000000003</v>
          </cell>
        </row>
        <row r="285">
          <cell r="A285" t="str">
            <v>NW3823</v>
          </cell>
          <cell r="B285">
            <v>5.1344000000000003</v>
          </cell>
        </row>
        <row r="286">
          <cell r="A286" t="str">
            <v>NW3824</v>
          </cell>
          <cell r="B286">
            <v>4.6025</v>
          </cell>
        </row>
        <row r="287">
          <cell r="A287" t="str">
            <v>NW3825</v>
          </cell>
          <cell r="B287">
            <v>5.5674999999999999</v>
          </cell>
        </row>
        <row r="288">
          <cell r="A288" t="str">
            <v>NW3826</v>
          </cell>
          <cell r="B288">
            <v>5.8571</v>
          </cell>
        </row>
        <row r="289">
          <cell r="A289" t="str">
            <v>NW3827</v>
          </cell>
          <cell r="B289">
            <v>5.8437999999999999</v>
          </cell>
        </row>
        <row r="290">
          <cell r="A290" t="str">
            <v>NW3828</v>
          </cell>
          <cell r="B290">
            <v>5.4991000000000003</v>
          </cell>
        </row>
        <row r="291">
          <cell r="A291" t="str">
            <v>NW3829</v>
          </cell>
          <cell r="B291">
            <v>5.6104000000000003</v>
          </cell>
        </row>
        <row r="292">
          <cell r="A292" t="str">
            <v>NW3830</v>
          </cell>
          <cell r="B292">
            <v>5.9661999999999997</v>
          </cell>
        </row>
        <row r="293">
          <cell r="A293" t="str">
            <v>NW3831</v>
          </cell>
          <cell r="B293">
            <v>5.6071</v>
          </cell>
        </row>
        <row r="294">
          <cell r="A294" t="str">
            <v>NW3832</v>
          </cell>
          <cell r="B294">
            <v>5.6071</v>
          </cell>
        </row>
        <row r="295">
          <cell r="A295" t="str">
            <v>NW3833</v>
          </cell>
          <cell r="B295">
            <v>5.3760000000000003</v>
          </cell>
        </row>
        <row r="296">
          <cell r="A296" t="str">
            <v>NW3834</v>
          </cell>
          <cell r="B296">
            <v>5.0720000000000001</v>
          </cell>
        </row>
        <row r="297">
          <cell r="A297" t="str">
            <v>NW3835</v>
          </cell>
          <cell r="B297">
            <v>5.3701999999999996</v>
          </cell>
        </row>
        <row r="298">
          <cell r="A298" t="str">
            <v>NW3836</v>
          </cell>
          <cell r="B298">
            <v>5.3701999999999996</v>
          </cell>
        </row>
        <row r="299">
          <cell r="A299" t="str">
            <v>NW3837</v>
          </cell>
          <cell r="B299">
            <v>5.4778000000000002</v>
          </cell>
        </row>
        <row r="300">
          <cell r="A300" t="str">
            <v>NW3838</v>
          </cell>
          <cell r="B300">
            <v>5.7287999999999997</v>
          </cell>
        </row>
        <row r="301">
          <cell r="A301" t="str">
            <v>NW3839</v>
          </cell>
          <cell r="B301">
            <v>5.3760000000000003</v>
          </cell>
        </row>
        <row r="302">
          <cell r="A302" t="str">
            <v>NW3840</v>
          </cell>
          <cell r="B302">
            <v>9.4079999999999995</v>
          </cell>
        </row>
        <row r="303">
          <cell r="A303" t="str">
            <v>NW3841</v>
          </cell>
          <cell r="B303">
            <v>5.5763999999999996</v>
          </cell>
        </row>
        <row r="304">
          <cell r="A304" t="str">
            <v>NW3842</v>
          </cell>
          <cell r="B304">
            <v>5.5885999999999996</v>
          </cell>
        </row>
        <row r="305">
          <cell r="A305" t="str">
            <v>NW3843</v>
          </cell>
          <cell r="B305">
            <v>5.4619</v>
          </cell>
        </row>
        <row r="306">
          <cell r="A306" t="str">
            <v>NW3844</v>
          </cell>
          <cell r="B306">
            <v>5.6250999999999998</v>
          </cell>
        </row>
        <row r="307">
          <cell r="A307" t="str">
            <v>NW3845</v>
          </cell>
          <cell r="B307">
            <v>7.5998999999999999</v>
          </cell>
        </row>
        <row r="308">
          <cell r="A308" t="str">
            <v>NW3846</v>
          </cell>
          <cell r="B308">
            <v>7.7561999999999998</v>
          </cell>
        </row>
        <row r="309">
          <cell r="A309" t="str">
            <v>NW3847</v>
          </cell>
          <cell r="B309">
            <v>5.6120999999999999</v>
          </cell>
        </row>
        <row r="310">
          <cell r="A310" t="str">
            <v>OGA000</v>
          </cell>
          <cell r="B310">
            <v>27.232099999999999</v>
          </cell>
        </row>
        <row r="311">
          <cell r="A311" t="str">
            <v>OGA077</v>
          </cell>
          <cell r="B311">
            <v>18.495200000000001</v>
          </cell>
        </row>
        <row r="312">
          <cell r="A312" t="str">
            <v>OGA080</v>
          </cell>
          <cell r="B312">
            <v>11.2164</v>
          </cell>
        </row>
        <row r="313">
          <cell r="A313" t="str">
            <v>OGA097</v>
          </cell>
          <cell r="B313">
            <v>20.763300000000001</v>
          </cell>
        </row>
        <row r="314">
          <cell r="A314" t="str">
            <v>OGA115</v>
          </cell>
          <cell r="B314">
            <v>12.032999999999999</v>
          </cell>
        </row>
        <row r="315">
          <cell r="A315" t="str">
            <v>OGA116</v>
          </cell>
          <cell r="B315">
            <v>12.007400000000001</v>
          </cell>
        </row>
        <row r="316">
          <cell r="A316" t="str">
            <v>OGA145</v>
          </cell>
          <cell r="B316">
            <v>11.632300000000001</v>
          </cell>
        </row>
        <row r="317">
          <cell r="A317" t="str">
            <v>OGA161</v>
          </cell>
          <cell r="B317">
            <v>22.066099999999999</v>
          </cell>
        </row>
        <row r="318">
          <cell r="A318" t="str">
            <v>OGZ036</v>
          </cell>
          <cell r="B318">
            <v>23.1325</v>
          </cell>
        </row>
        <row r="319">
          <cell r="A319" t="str">
            <v>OGZ036.L001</v>
          </cell>
          <cell r="B319">
            <v>9.1194000000000006</v>
          </cell>
        </row>
        <row r="320">
          <cell r="A320" t="str">
            <v>OGZ038</v>
          </cell>
          <cell r="B320">
            <v>5.6765999999999996</v>
          </cell>
        </row>
        <row r="321">
          <cell r="A321" t="str">
            <v>OGZ050E</v>
          </cell>
          <cell r="B321">
            <v>24.917100000000001</v>
          </cell>
        </row>
        <row r="322">
          <cell r="A322" t="str">
            <v>OGZ050W</v>
          </cell>
          <cell r="B322">
            <v>15.7043</v>
          </cell>
        </row>
        <row r="323">
          <cell r="A323" t="str">
            <v>OGZ051</v>
          </cell>
          <cell r="B323">
            <v>17.319199999999999</v>
          </cell>
        </row>
        <row r="324">
          <cell r="A324" t="str">
            <v>OGZ167M</v>
          </cell>
          <cell r="B324">
            <v>20.229199999999999</v>
          </cell>
        </row>
        <row r="325">
          <cell r="A325" t="str">
            <v>OGZ167N</v>
          </cell>
          <cell r="B325">
            <v>14.0716</v>
          </cell>
        </row>
        <row r="326">
          <cell r="A326" t="str">
            <v>OGZ167S</v>
          </cell>
          <cell r="B326">
            <v>22.5245</v>
          </cell>
        </row>
        <row r="327">
          <cell r="A327" t="str">
            <v>OGZ171</v>
          </cell>
          <cell r="B327">
            <v>11.655200000000001</v>
          </cell>
        </row>
        <row r="328">
          <cell r="A328" t="str">
            <v>OGZ270</v>
          </cell>
          <cell r="B328">
            <v>21.444900000000001</v>
          </cell>
        </row>
        <row r="329">
          <cell r="A329" t="str">
            <v>OGZ550W</v>
          </cell>
          <cell r="B329">
            <v>5.5640000000000001</v>
          </cell>
        </row>
        <row r="330">
          <cell r="A330" t="str">
            <v>SW6001</v>
          </cell>
          <cell r="B330">
            <v>11.5862</v>
          </cell>
        </row>
        <row r="331">
          <cell r="A331" t="str">
            <v>SW6002</v>
          </cell>
          <cell r="B331">
            <v>9.7194000000000003</v>
          </cell>
        </row>
        <row r="332">
          <cell r="A332" t="str">
            <v>SW6003</v>
          </cell>
          <cell r="B332">
            <v>8.0154999999999994</v>
          </cell>
        </row>
        <row r="333">
          <cell r="A333" t="str">
            <v>SW6004</v>
          </cell>
          <cell r="B333">
            <v>15.5855</v>
          </cell>
        </row>
        <row r="334">
          <cell r="A334" t="str">
            <v>SW6005</v>
          </cell>
          <cell r="B334">
            <v>11.3933</v>
          </cell>
        </row>
        <row r="335">
          <cell r="A335" t="str">
            <v>SW6006</v>
          </cell>
          <cell r="B335">
            <v>7.5514000000000001</v>
          </cell>
        </row>
        <row r="336">
          <cell r="A336" t="str">
            <v>SW6007</v>
          </cell>
          <cell r="B336">
            <v>19.547899999999998</v>
          </cell>
        </row>
        <row r="337">
          <cell r="A337" t="str">
            <v>SW6069</v>
          </cell>
          <cell r="B337">
            <v>23.1084</v>
          </cell>
        </row>
        <row r="338">
          <cell r="A338" t="str">
            <v>SW6070</v>
          </cell>
          <cell r="B338">
            <v>19.0838</v>
          </cell>
        </row>
        <row r="339">
          <cell r="A339" t="str">
            <v>SW6071</v>
          </cell>
          <cell r="B339">
            <v>15.4756</v>
          </cell>
        </row>
        <row r="340">
          <cell r="A340" t="str">
            <v>SW6072</v>
          </cell>
          <cell r="B340">
            <v>19.582799999999999</v>
          </cell>
        </row>
        <row r="341">
          <cell r="A341" t="str">
            <v>SW6073</v>
          </cell>
          <cell r="B341">
            <v>7.6700999999999997</v>
          </cell>
        </row>
        <row r="342">
          <cell r="A342" t="str">
            <v>SW6074</v>
          </cell>
          <cell r="B342">
            <v>6.3803000000000001</v>
          </cell>
        </row>
        <row r="343">
          <cell r="A343" t="str">
            <v>SW6075</v>
          </cell>
          <cell r="B343">
            <v>20.893000000000001</v>
          </cell>
        </row>
        <row r="344">
          <cell r="A344" t="str">
            <v>SW6076</v>
          </cell>
          <cell r="B344">
            <v>23.6724</v>
          </cell>
        </row>
        <row r="345">
          <cell r="A345" t="str">
            <v>SW6077</v>
          </cell>
          <cell r="B345">
            <v>9.4253999999999998</v>
          </cell>
        </row>
        <row r="346">
          <cell r="A346" t="str">
            <v>SW6078</v>
          </cell>
          <cell r="B346">
            <v>15.4138</v>
          </cell>
        </row>
        <row r="347">
          <cell r="A347" t="str">
            <v>SW6079</v>
          </cell>
          <cell r="B347">
            <v>11.318300000000001</v>
          </cell>
        </row>
        <row r="348">
          <cell r="A348" t="str">
            <v>SW6121</v>
          </cell>
          <cell r="B348">
            <v>12.4819</v>
          </cell>
        </row>
        <row r="349">
          <cell r="A349" t="str">
            <v>SW6122</v>
          </cell>
          <cell r="B349">
            <v>8.4036000000000008</v>
          </cell>
        </row>
        <row r="350">
          <cell r="A350" t="str">
            <v>SW6123</v>
          </cell>
          <cell r="B350">
            <v>6.7575000000000003</v>
          </cell>
        </row>
        <row r="351">
          <cell r="A351" t="str">
            <v>SW6124</v>
          </cell>
          <cell r="B351">
            <v>7.3970000000000002</v>
          </cell>
        </row>
        <row r="352">
          <cell r="A352" t="str">
            <v>SW6155</v>
          </cell>
          <cell r="B352">
            <v>19.085599999999999</v>
          </cell>
        </row>
        <row r="353">
          <cell r="A353" t="str">
            <v>SW6156</v>
          </cell>
          <cell r="B353">
            <v>7.9036999999999997</v>
          </cell>
        </row>
        <row r="354">
          <cell r="A354" t="str">
            <v>SW6157</v>
          </cell>
          <cell r="B354">
            <v>14.1076</v>
          </cell>
        </row>
        <row r="355">
          <cell r="A355" t="str">
            <v>SW6158</v>
          </cell>
          <cell r="B355">
            <v>8.8500999999999994</v>
          </cell>
        </row>
        <row r="356">
          <cell r="A356" t="str">
            <v>SW6700</v>
          </cell>
          <cell r="B356">
            <v>6.9283000000000001</v>
          </cell>
        </row>
        <row r="357">
          <cell r="A357" t="str">
            <v>SW6701</v>
          </cell>
          <cell r="B357">
            <v>5.5411000000000001</v>
          </cell>
        </row>
        <row r="358">
          <cell r="A358" t="str">
            <v>SW6702</v>
          </cell>
          <cell r="B358">
            <v>5.2184999999999997</v>
          </cell>
        </row>
        <row r="359">
          <cell r="A359" t="str">
            <v>SW6703</v>
          </cell>
          <cell r="B359">
            <v>5.1750999999999996</v>
          </cell>
        </row>
        <row r="360">
          <cell r="A360" t="str">
            <v>SW6704</v>
          </cell>
          <cell r="B360">
            <v>4.0724999999999998</v>
          </cell>
        </row>
        <row r="361">
          <cell r="A361" t="str">
            <v>SW6705</v>
          </cell>
          <cell r="B361">
            <v>3.9765000000000001</v>
          </cell>
        </row>
        <row r="362">
          <cell r="A362" t="str">
            <v>SW6706</v>
          </cell>
          <cell r="B362">
            <v>5.548</v>
          </cell>
        </row>
        <row r="363">
          <cell r="A363" t="str">
            <v>SW6707</v>
          </cell>
          <cell r="B363">
            <v>4.2466999999999997</v>
          </cell>
        </row>
        <row r="364">
          <cell r="A364" t="str">
            <v>SW6708</v>
          </cell>
          <cell r="B364">
            <v>3.9971999999999999</v>
          </cell>
        </row>
        <row r="365">
          <cell r="A365" t="str">
            <v>SW6709</v>
          </cell>
          <cell r="B365">
            <v>5.8174999999999999</v>
          </cell>
        </row>
        <row r="366">
          <cell r="A366" t="str">
            <v>SW6710</v>
          </cell>
          <cell r="B366">
            <v>5.3712999999999997</v>
          </cell>
        </row>
        <row r="367">
          <cell r="A367" t="str">
            <v>SW6711</v>
          </cell>
          <cell r="B367">
            <v>4.4889999999999999</v>
          </cell>
        </row>
        <row r="368">
          <cell r="A368" t="str">
            <v>SW6712</v>
          </cell>
          <cell r="B368">
            <v>4.5654000000000003</v>
          </cell>
        </row>
        <row r="369">
          <cell r="A369" t="str">
            <v>SW6713</v>
          </cell>
          <cell r="B369">
            <v>4.5654000000000003</v>
          </cell>
        </row>
        <row r="370">
          <cell r="A370" t="str">
            <v>SW6714</v>
          </cell>
          <cell r="B370">
            <v>5.758</v>
          </cell>
        </row>
        <row r="371">
          <cell r="A371" t="str">
            <v>SW6715</v>
          </cell>
          <cell r="B371">
            <v>5.758</v>
          </cell>
        </row>
        <row r="372">
          <cell r="A372" t="str">
            <v>SW6716</v>
          </cell>
          <cell r="B372">
            <v>5.4322999999999997</v>
          </cell>
        </row>
        <row r="373">
          <cell r="A373" t="str">
            <v>SW6717</v>
          </cell>
          <cell r="B373">
            <v>3.7713000000000001</v>
          </cell>
        </row>
        <row r="374">
          <cell r="A374" t="str">
            <v>SW6718</v>
          </cell>
          <cell r="B374">
            <v>5.3760000000000003</v>
          </cell>
        </row>
        <row r="375">
          <cell r="A375" t="str">
            <v>SW6719</v>
          </cell>
          <cell r="B375">
            <v>5.1352000000000002</v>
          </cell>
        </row>
        <row r="376">
          <cell r="A376" t="str">
            <v>SW6720</v>
          </cell>
          <cell r="B376">
            <v>4.6463999999999999</v>
          </cell>
        </row>
        <row r="377">
          <cell r="A377" t="str">
            <v>SW6721</v>
          </cell>
          <cell r="B377">
            <v>4.3297999999999996</v>
          </cell>
        </row>
        <row r="378">
          <cell r="A378" t="str">
            <v>SW6722</v>
          </cell>
          <cell r="B378">
            <v>4.3297999999999996</v>
          </cell>
        </row>
        <row r="379">
          <cell r="A379" t="str">
            <v>SW6723</v>
          </cell>
          <cell r="B379">
            <v>5.6219000000000001</v>
          </cell>
        </row>
        <row r="380">
          <cell r="A380" t="str">
            <v>SW6725</v>
          </cell>
          <cell r="B380">
            <v>5.5651999999999999</v>
          </cell>
        </row>
        <row r="381">
          <cell r="A381" t="str">
            <v>SW6726</v>
          </cell>
          <cell r="B381">
            <v>5.5110999999999999</v>
          </cell>
        </row>
        <row r="382">
          <cell r="A382" t="str">
            <v>SW6727</v>
          </cell>
          <cell r="B382">
            <v>5.2652000000000001</v>
          </cell>
        </row>
        <row r="383">
          <cell r="A383" t="str">
            <v>SW6728</v>
          </cell>
          <cell r="B383">
            <v>4.4200999999999997</v>
          </cell>
        </row>
        <row r="384">
          <cell r="A384" t="str">
            <v>SW6729</v>
          </cell>
          <cell r="B384">
            <v>5.4772999999999996</v>
          </cell>
        </row>
        <row r="385">
          <cell r="A385" t="str">
            <v>SW6730</v>
          </cell>
          <cell r="B385">
            <v>5.4772999999999996</v>
          </cell>
        </row>
        <row r="386">
          <cell r="A386" t="str">
            <v>SW6731</v>
          </cell>
          <cell r="B386">
            <v>5.4772999999999996</v>
          </cell>
        </row>
        <row r="387">
          <cell r="A387" t="str">
            <v>SW6732</v>
          </cell>
          <cell r="B387">
            <v>5.4772999999999996</v>
          </cell>
        </row>
        <row r="388">
          <cell r="A388" t="str">
            <v>SW6733</v>
          </cell>
          <cell r="B388">
            <v>5.4772999999999996</v>
          </cell>
        </row>
        <row r="389">
          <cell r="A389" t="str">
            <v>SW6800</v>
          </cell>
          <cell r="B389">
            <v>9.8048000000000002</v>
          </cell>
        </row>
        <row r="390">
          <cell r="A390" t="str">
            <v>SW6801</v>
          </cell>
          <cell r="B390">
            <v>6.0118</v>
          </cell>
        </row>
        <row r="391">
          <cell r="A391" t="str">
            <v>SW6802</v>
          </cell>
          <cell r="B391">
            <v>6.2137000000000002</v>
          </cell>
        </row>
        <row r="392">
          <cell r="A392" t="str">
            <v>SW6803</v>
          </cell>
          <cell r="B392">
            <v>5.9503000000000004</v>
          </cell>
        </row>
        <row r="393">
          <cell r="A393" t="str">
            <v>SW6804</v>
          </cell>
          <cell r="B393">
            <v>5.9542999999999999</v>
          </cell>
        </row>
        <row r="394">
          <cell r="A394" t="str">
            <v>SW6805</v>
          </cell>
          <cell r="B394">
            <v>5.9503000000000004</v>
          </cell>
        </row>
        <row r="395">
          <cell r="A395" t="str">
            <v>SW6806</v>
          </cell>
          <cell r="B395">
            <v>5.8135000000000003</v>
          </cell>
        </row>
        <row r="396">
          <cell r="A396" t="str">
            <v>SW6807</v>
          </cell>
          <cell r="B396">
            <v>5.9489999999999998</v>
          </cell>
        </row>
        <row r="397">
          <cell r="A397" t="str">
            <v>SW6808</v>
          </cell>
          <cell r="B397">
            <v>6.1920000000000002</v>
          </cell>
        </row>
        <row r="398">
          <cell r="A398" t="str">
            <v>SW6809</v>
          </cell>
          <cell r="B398">
            <v>5.9337</v>
          </cell>
        </row>
        <row r="399">
          <cell r="A399" t="str">
            <v>SW6810</v>
          </cell>
          <cell r="B399">
            <v>9.7894000000000005</v>
          </cell>
        </row>
        <row r="400">
          <cell r="A400" t="str">
            <v>SW6811</v>
          </cell>
          <cell r="B400">
            <v>6.0533999999999999</v>
          </cell>
        </row>
        <row r="401">
          <cell r="A401" t="str">
            <v>SW6812</v>
          </cell>
          <cell r="B401">
            <v>5.9337</v>
          </cell>
        </row>
        <row r="402">
          <cell r="A402" t="str">
            <v>SW6813</v>
          </cell>
          <cell r="B402">
            <v>5.9348999999999998</v>
          </cell>
        </row>
        <row r="403">
          <cell r="A403" t="str">
            <v>SW6814</v>
          </cell>
          <cell r="B403">
            <v>6.0312000000000001</v>
          </cell>
        </row>
        <row r="404">
          <cell r="A404" t="str">
            <v>SW6815</v>
          </cell>
          <cell r="B404">
            <v>6.0533999999999999</v>
          </cell>
        </row>
        <row r="405">
          <cell r="A405" t="str">
            <v>SW6816</v>
          </cell>
          <cell r="B405">
            <v>5.8219000000000003</v>
          </cell>
        </row>
        <row r="406">
          <cell r="A406" t="str">
            <v>SW6817</v>
          </cell>
          <cell r="B406">
            <v>6.0956000000000001</v>
          </cell>
        </row>
        <row r="407">
          <cell r="A407" t="str">
            <v>SW6818</v>
          </cell>
          <cell r="B407">
            <v>5.7409999999999997</v>
          </cell>
        </row>
        <row r="408">
          <cell r="A408" t="str">
            <v>SW6819</v>
          </cell>
          <cell r="B408">
            <v>6.2230999999999996</v>
          </cell>
        </row>
        <row r="409">
          <cell r="A409" t="str">
            <v>SW6820</v>
          </cell>
          <cell r="B409">
            <v>6.2461000000000002</v>
          </cell>
        </row>
        <row r="410">
          <cell r="A410" t="str">
            <v>SW6821</v>
          </cell>
          <cell r="B410">
            <v>5.9337</v>
          </cell>
        </row>
        <row r="411">
          <cell r="A411" t="str">
            <v>SW6822</v>
          </cell>
          <cell r="B411">
            <v>5.9337</v>
          </cell>
        </row>
        <row r="412">
          <cell r="A412" t="str">
            <v>SW6823</v>
          </cell>
          <cell r="B412">
            <v>5.7564000000000002</v>
          </cell>
        </row>
        <row r="413">
          <cell r="A413" t="str">
            <v>SW6824</v>
          </cell>
          <cell r="B413">
            <v>6.0728</v>
          </cell>
        </row>
        <row r="414">
          <cell r="A414" t="str">
            <v>SW6825</v>
          </cell>
          <cell r="B414">
            <v>6.2188999999999997</v>
          </cell>
        </row>
        <row r="415">
          <cell r="A415" t="str">
            <v>SW6826</v>
          </cell>
          <cell r="B415">
            <v>5.9337</v>
          </cell>
        </row>
        <row r="416">
          <cell r="A416" t="str">
            <v>SW6827</v>
          </cell>
          <cell r="B416">
            <v>5.9377000000000004</v>
          </cell>
        </row>
        <row r="417">
          <cell r="A417" t="str">
            <v>SW6828</v>
          </cell>
          <cell r="B417">
            <v>6.8619000000000003</v>
          </cell>
        </row>
        <row r="418">
          <cell r="A418" t="str">
            <v>SW6828.L001</v>
          </cell>
          <cell r="B418">
            <v>7.0186999999999999</v>
          </cell>
        </row>
        <row r="419">
          <cell r="A419" t="str">
            <v>SW6829</v>
          </cell>
          <cell r="B419">
            <v>9.202</v>
          </cell>
        </row>
        <row r="420">
          <cell r="A420" t="str">
            <v>SW6830</v>
          </cell>
          <cell r="B420">
            <v>5.9877000000000002</v>
          </cell>
        </row>
        <row r="421">
          <cell r="A421" t="str">
            <v>SW6831</v>
          </cell>
          <cell r="B421">
            <v>5.9222999999999999</v>
          </cell>
        </row>
        <row r="422">
          <cell r="A422" t="str">
            <v>SW6832</v>
          </cell>
          <cell r="B422">
            <v>6.1124000000000001</v>
          </cell>
        </row>
        <row r="423">
          <cell r="A423" t="str">
            <v>SW6833</v>
          </cell>
          <cell r="B423">
            <v>6.1424000000000003</v>
          </cell>
        </row>
        <row r="424">
          <cell r="A424" t="str">
            <v>SW6834</v>
          </cell>
          <cell r="B424">
            <v>5.9542999999999999</v>
          </cell>
        </row>
        <row r="425">
          <cell r="A425" t="str">
            <v>SW6835</v>
          </cell>
          <cell r="B425">
            <v>6.2233999999999998</v>
          </cell>
        </row>
        <row r="426">
          <cell r="A426" t="str">
            <v>SW6900</v>
          </cell>
          <cell r="B426">
            <v>7.3127000000000004</v>
          </cell>
        </row>
        <row r="427">
          <cell r="A427" t="str">
            <v>SW6901</v>
          </cell>
          <cell r="B427">
            <v>5.3213999999999997</v>
          </cell>
        </row>
        <row r="428">
          <cell r="A428" t="str">
            <v>SW6902</v>
          </cell>
          <cell r="B428">
            <v>4.4433999999999996</v>
          </cell>
        </row>
        <row r="429">
          <cell r="A429" t="str">
            <v>SW6903</v>
          </cell>
          <cell r="B429">
            <v>4.2343000000000002</v>
          </cell>
        </row>
        <row r="430">
          <cell r="A430" t="str">
            <v>SW6904</v>
          </cell>
          <cell r="B430">
            <v>4.1877000000000004</v>
          </cell>
        </row>
        <row r="431">
          <cell r="A431" t="str">
            <v>SW6905</v>
          </cell>
          <cell r="B431">
            <v>4.2343000000000002</v>
          </cell>
        </row>
        <row r="432">
          <cell r="A432" t="str">
            <v>SW6906</v>
          </cell>
          <cell r="B432">
            <v>4.0548999999999999</v>
          </cell>
        </row>
        <row r="433">
          <cell r="A433" t="str">
            <v>SW6907</v>
          </cell>
          <cell r="B433">
            <v>5.1025</v>
          </cell>
        </row>
        <row r="434">
          <cell r="A434" t="str">
            <v>SW6908</v>
          </cell>
          <cell r="B434">
            <v>4.4398999999999997</v>
          </cell>
        </row>
        <row r="435">
          <cell r="A435" t="str">
            <v>SW6910</v>
          </cell>
          <cell r="B435">
            <v>5.1516000000000002</v>
          </cell>
        </row>
        <row r="436">
          <cell r="A436" t="str">
            <v>SW6911</v>
          </cell>
          <cell r="B436">
            <v>5.0187999999999997</v>
          </cell>
        </row>
        <row r="437">
          <cell r="A437" t="str">
            <v>SW6912</v>
          </cell>
          <cell r="B437">
            <v>5.3136000000000001</v>
          </cell>
        </row>
        <row r="438">
          <cell r="A438" t="str">
            <v>SW6913</v>
          </cell>
          <cell r="B438">
            <v>5.2304000000000004</v>
          </cell>
        </row>
        <row r="439">
          <cell r="A439" t="str">
            <v>SW6914</v>
          </cell>
          <cell r="B439">
            <v>5.1097000000000001</v>
          </cell>
        </row>
        <row r="440">
          <cell r="A440" t="str">
            <v>SW6915</v>
          </cell>
          <cell r="B440">
            <v>5.0237999999999996</v>
          </cell>
        </row>
        <row r="441">
          <cell r="A441" t="str">
            <v>SW6916</v>
          </cell>
          <cell r="B441">
            <v>5.2502000000000004</v>
          </cell>
        </row>
        <row r="442">
          <cell r="A442" t="str">
            <v>SW6917</v>
          </cell>
          <cell r="B442">
            <v>7.0410000000000004</v>
          </cell>
        </row>
        <row r="443">
          <cell r="A443" t="str">
            <v>SW6918</v>
          </cell>
          <cell r="B443">
            <v>5.5693999999999999</v>
          </cell>
        </row>
        <row r="444">
          <cell r="A444" t="str">
            <v>SW6919</v>
          </cell>
          <cell r="B444">
            <v>5.1097000000000001</v>
          </cell>
        </row>
        <row r="445">
          <cell r="A445" t="str">
            <v>SW6920</v>
          </cell>
          <cell r="B445">
            <v>5.1097000000000001</v>
          </cell>
        </row>
        <row r="446">
          <cell r="A446" t="str">
            <v>SW6921</v>
          </cell>
          <cell r="B446">
            <v>5.0187999999999997</v>
          </cell>
        </row>
        <row r="447">
          <cell r="A447" t="str">
            <v>SW6922</v>
          </cell>
          <cell r="B447">
            <v>5.1516000000000002</v>
          </cell>
        </row>
        <row r="448">
          <cell r="A448" t="str">
            <v>SW6923</v>
          </cell>
          <cell r="B448">
            <v>5.6135999999999999</v>
          </cell>
        </row>
        <row r="449">
          <cell r="A449" t="str">
            <v>SW6924</v>
          </cell>
          <cell r="B449">
            <v>5.2746000000000004</v>
          </cell>
        </row>
        <row r="450">
          <cell r="A450" t="str">
            <v>SW6925</v>
          </cell>
          <cell r="B450">
            <v>5.0237999999999996</v>
          </cell>
        </row>
        <row r="451">
          <cell r="A451" t="str">
            <v>SW6926</v>
          </cell>
          <cell r="B451">
            <v>5.1174999999999997</v>
          </cell>
        </row>
        <row r="452">
          <cell r="A452" t="str">
            <v>SW6927</v>
          </cell>
          <cell r="B452">
            <v>7.1193999999999997</v>
          </cell>
        </row>
        <row r="453">
          <cell r="A453" t="str">
            <v>SW6928</v>
          </cell>
          <cell r="B453">
            <v>5.0187999999999997</v>
          </cell>
        </row>
        <row r="454">
          <cell r="A454" t="str">
            <v>SW6929</v>
          </cell>
          <cell r="B454">
            <v>5.0187999999999997</v>
          </cell>
        </row>
        <row r="455">
          <cell r="A455" t="str">
            <v>SW6930</v>
          </cell>
          <cell r="B455">
            <v>5.0713999999999997</v>
          </cell>
        </row>
        <row r="456">
          <cell r="A456" t="str">
            <v>SW6931</v>
          </cell>
          <cell r="B456">
            <v>3.9584999999999999</v>
          </cell>
        </row>
        <row r="457">
          <cell r="A457" t="str">
            <v>SW6932</v>
          </cell>
          <cell r="B457">
            <v>5.1174999999999997</v>
          </cell>
        </row>
        <row r="458">
          <cell r="A458" t="str">
            <v>SW6933</v>
          </cell>
          <cell r="B458">
            <v>7.0342000000000002</v>
          </cell>
        </row>
        <row r="459">
          <cell r="A459" t="str">
            <v>SW6934</v>
          </cell>
          <cell r="B459">
            <v>5.3537999999999997</v>
          </cell>
        </row>
        <row r="460">
          <cell r="A460" t="str">
            <v>SW6935</v>
          </cell>
          <cell r="B460">
            <v>5.0237999999999996</v>
          </cell>
        </row>
        <row r="461">
          <cell r="A461" t="str">
            <v>SW6936</v>
          </cell>
          <cell r="B461">
            <v>5.4463999999999997</v>
          </cell>
        </row>
        <row r="462">
          <cell r="A462" t="str">
            <v>SW6937</v>
          </cell>
          <cell r="B462">
            <v>5.3136000000000001</v>
          </cell>
        </row>
        <row r="463">
          <cell r="A463" t="str">
            <v>SW6938</v>
          </cell>
          <cell r="B463">
            <v>4.8860999999999999</v>
          </cell>
        </row>
        <row r="464">
          <cell r="A464" t="str">
            <v>SW6939</v>
          </cell>
          <cell r="B464">
            <v>5.3602999999999996</v>
          </cell>
        </row>
        <row r="465">
          <cell r="A465" t="str">
            <v>SW6940</v>
          </cell>
          <cell r="B465">
            <v>5.0266000000000002</v>
          </cell>
        </row>
        <row r="466">
          <cell r="A466" t="str">
            <v>SW6941</v>
          </cell>
          <cell r="B466">
            <v>5.3262</v>
          </cell>
        </row>
        <row r="467">
          <cell r="A467" t="str">
            <v>SW6942</v>
          </cell>
          <cell r="B467">
            <v>5.383</v>
          </cell>
        </row>
      </sheetData>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Analysis for Estimate"/>
      <sheetName val="Project Log"/>
      <sheetName val="Sheet1"/>
      <sheetName val="Sheet3"/>
      <sheetName val="Sheet4"/>
      <sheetName val="Sheet5"/>
      <sheetName val="Sheet6"/>
      <sheetName val="O&amp;M Pivot Analysis"/>
      <sheetName val="Source Data"/>
      <sheetName val="IM Risk Score Per Pipeline"/>
      <sheetName val="IM System Name"/>
      <sheetName val="Directions"/>
      <sheetName val="Costs By Year"/>
      <sheetName val="ILI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1">
          <cell r="B21">
            <v>2013</v>
          </cell>
        </row>
        <row r="22">
          <cell r="B22">
            <v>2014</v>
          </cell>
        </row>
        <row r="23">
          <cell r="B23">
            <v>2015</v>
          </cell>
        </row>
        <row r="24">
          <cell r="B24">
            <v>2016</v>
          </cell>
        </row>
        <row r="25">
          <cell r="B25">
            <v>2017</v>
          </cell>
        </row>
        <row r="26">
          <cell r="B26">
            <v>2018</v>
          </cell>
        </row>
        <row r="27">
          <cell r="B27">
            <v>2019</v>
          </cell>
        </row>
        <row r="28">
          <cell r="B28">
            <v>2020</v>
          </cell>
        </row>
        <row r="29">
          <cell r="B29">
            <v>2021</v>
          </cell>
        </row>
        <row r="30">
          <cell r="B30">
            <v>2022</v>
          </cell>
        </row>
        <row r="31">
          <cell r="B31">
            <v>2023</v>
          </cell>
        </row>
        <row r="32">
          <cell r="B32">
            <v>2024</v>
          </cell>
        </row>
        <row r="33">
          <cell r="B33">
            <v>2025</v>
          </cell>
        </row>
        <row r="34">
          <cell r="B34">
            <v>2026</v>
          </cell>
        </row>
        <row r="35">
          <cell r="B35">
            <v>2027</v>
          </cell>
        </row>
        <row r="36">
          <cell r="B36">
            <v>2028</v>
          </cell>
        </row>
        <row r="37">
          <cell r="B37">
            <v>2029</v>
          </cell>
        </row>
        <row r="38">
          <cell r="B38">
            <v>2030</v>
          </cell>
        </row>
        <row r="39">
          <cell r="B39">
            <v>2031</v>
          </cell>
        </row>
        <row r="40">
          <cell r="B40">
            <v>2032</v>
          </cell>
        </row>
        <row r="41">
          <cell r="B41">
            <v>2033</v>
          </cell>
        </row>
        <row r="42">
          <cell r="B42">
            <v>2034</v>
          </cell>
        </row>
        <row r="43">
          <cell r="B43">
            <v>2035</v>
          </cell>
        </row>
        <row r="44">
          <cell r="B44" t="str">
            <v>Other</v>
          </cell>
        </row>
        <row r="520">
          <cell r="B520" t="str">
            <v>Bridge Crossings</v>
          </cell>
        </row>
        <row r="521">
          <cell r="B521" t="str">
            <v>Casings</v>
          </cell>
        </row>
        <row r="522">
          <cell r="B522" t="str">
            <v>Data Collection</v>
          </cell>
        </row>
        <row r="523">
          <cell r="B523" t="str">
            <v>Direct Assesment</v>
          </cell>
        </row>
        <row r="524">
          <cell r="B524" t="str">
            <v>Encroachments</v>
          </cell>
        </row>
        <row r="525">
          <cell r="B525" t="str">
            <v>Exposures</v>
          </cell>
        </row>
        <row r="526">
          <cell r="B526" t="str">
            <v>Gas Quality / Conditioning</v>
          </cell>
        </row>
        <row r="527">
          <cell r="B527" t="str">
            <v>ILI Assessments</v>
          </cell>
        </row>
        <row r="528">
          <cell r="B528" t="str">
            <v>ILI Retrofits</v>
          </cell>
        </row>
        <row r="529">
          <cell r="B529" t="str">
            <v>Ineffectively Coated Steel</v>
          </cell>
        </row>
        <row r="530">
          <cell r="B530" t="str">
            <v>Inside Meters</v>
          </cell>
        </row>
        <row r="531">
          <cell r="B531" t="str">
            <v>Miscellaneous</v>
          </cell>
        </row>
        <row r="532">
          <cell r="B532" t="str">
            <v>Non-Commerically Available Pipe Size</v>
          </cell>
        </row>
        <row r="533">
          <cell r="B533" t="str">
            <v>Obsolete Equipment</v>
          </cell>
        </row>
        <row r="534">
          <cell r="B534" t="str">
            <v>Odorizers</v>
          </cell>
        </row>
        <row r="535">
          <cell r="B535" t="str">
            <v>Pressure Monitoring / SCADA / RTU</v>
          </cell>
        </row>
        <row r="536">
          <cell r="B536" t="str">
            <v>Pressure Test</v>
          </cell>
        </row>
        <row r="537">
          <cell r="B537" t="str">
            <v>Priority Pipe</v>
          </cell>
        </row>
        <row r="538">
          <cell r="B538" t="str">
            <v>Regulator Station</v>
          </cell>
        </row>
        <row r="539">
          <cell r="B539" t="str">
            <v>Retirements</v>
          </cell>
        </row>
        <row r="540">
          <cell r="B540" t="str">
            <v>Shallow Pipe</v>
          </cell>
        </row>
        <row r="541">
          <cell r="B541" t="str">
            <v>Single Feed Systems</v>
          </cell>
        </row>
        <row r="542">
          <cell r="B542" t="str">
            <v>Station Rehabilitation</v>
          </cell>
        </row>
        <row r="543">
          <cell r="B543" t="str">
            <v>Uprate</v>
          </cell>
        </row>
        <row r="544">
          <cell r="B544" t="str">
            <v>Valves / Operators / Remote Cntrl</v>
          </cell>
        </row>
        <row r="545">
          <cell r="B545" t="str">
            <v>Vintage Plastic (Aldyl-A)</v>
          </cell>
        </row>
        <row r="548">
          <cell r="B548" t="str">
            <v>Transmission</v>
          </cell>
        </row>
        <row r="549">
          <cell r="B549" t="str">
            <v>Distribution</v>
          </cell>
        </row>
        <row r="552">
          <cell r="B552" t="str">
            <v>NE</v>
          </cell>
        </row>
        <row r="553">
          <cell r="B553" t="str">
            <v>NW</v>
          </cell>
        </row>
        <row r="554">
          <cell r="B554" t="str">
            <v>OH</v>
          </cell>
        </row>
        <row r="555">
          <cell r="B555" t="str">
            <v>SE</v>
          </cell>
        </row>
        <row r="556">
          <cell r="B556" t="str">
            <v>SW</v>
          </cell>
        </row>
        <row r="559">
          <cell r="B559" t="str">
            <v>NE/Anderson</v>
          </cell>
        </row>
        <row r="560">
          <cell r="B560" t="str">
            <v>NE/Greenfield</v>
          </cell>
        </row>
        <row r="561">
          <cell r="B561" t="str">
            <v>NE/Huntington</v>
          </cell>
        </row>
        <row r="562">
          <cell r="B562" t="str">
            <v>NE/Muncie</v>
          </cell>
        </row>
        <row r="563">
          <cell r="B563" t="str">
            <v>NE/New Castle</v>
          </cell>
        </row>
        <row r="564">
          <cell r="B564" t="str">
            <v>NE/Noblesville</v>
          </cell>
        </row>
        <row r="565">
          <cell r="B565" t="str">
            <v>NE/Richmond</v>
          </cell>
        </row>
        <row r="566">
          <cell r="B566" t="str">
            <v>NW/Attica</v>
          </cell>
        </row>
        <row r="567">
          <cell r="B567" t="str">
            <v>NW/Crawfordsville</v>
          </cell>
        </row>
        <row r="568">
          <cell r="B568" t="str">
            <v>NW/Danville</v>
          </cell>
        </row>
        <row r="569">
          <cell r="B569" t="str">
            <v>NW/Frankfort</v>
          </cell>
        </row>
        <row r="570">
          <cell r="B570" t="str">
            <v>NW/Greencastle</v>
          </cell>
        </row>
        <row r="571">
          <cell r="B571" t="str">
            <v>NW/Lafayette</v>
          </cell>
        </row>
        <row r="572">
          <cell r="B572" t="str">
            <v>NW/Lebanon</v>
          </cell>
        </row>
        <row r="573">
          <cell r="B573" t="str">
            <v>NW/Rockville</v>
          </cell>
        </row>
        <row r="574">
          <cell r="B574" t="str">
            <v>NW/Terre Haute</v>
          </cell>
        </row>
        <row r="575">
          <cell r="B575" t="str">
            <v>NW/Wolcott</v>
          </cell>
        </row>
        <row r="576">
          <cell r="B576" t="str">
            <v>SE/Bedford</v>
          </cell>
        </row>
        <row r="577">
          <cell r="B577" t="str">
            <v>SE/Bloomington</v>
          </cell>
        </row>
        <row r="578">
          <cell r="B578" t="str">
            <v>SE/Clarksville</v>
          </cell>
        </row>
        <row r="579">
          <cell r="B579" t="str">
            <v>SE/Columbus</v>
          </cell>
        </row>
        <row r="580">
          <cell r="B580" t="str">
            <v>SE/Franklin</v>
          </cell>
        </row>
        <row r="581">
          <cell r="B581" t="str">
            <v>SE/Greensburg</v>
          </cell>
        </row>
        <row r="582">
          <cell r="B582" t="str">
            <v>SE/Madison</v>
          </cell>
        </row>
        <row r="583">
          <cell r="B583" t="str">
            <v>SE/Martinsville</v>
          </cell>
        </row>
        <row r="584">
          <cell r="B584" t="str">
            <v>SE/Shelbyville</v>
          </cell>
        </row>
        <row r="585">
          <cell r="B585" t="str">
            <v>SW/Boonville</v>
          </cell>
        </row>
        <row r="586">
          <cell r="B586" t="str">
            <v>SW/Evansville</v>
          </cell>
        </row>
        <row r="587">
          <cell r="B587" t="str">
            <v>SW/Mt. Vernon</v>
          </cell>
        </row>
        <row r="588">
          <cell r="B588" t="str">
            <v>SW/Rockport</v>
          </cell>
        </row>
        <row r="589">
          <cell r="B589" t="str">
            <v>SW/Vincennes</v>
          </cell>
        </row>
        <row r="590">
          <cell r="B590" t="str">
            <v>OH/Centerville</v>
          </cell>
        </row>
        <row r="591">
          <cell r="B591" t="str">
            <v>OH/Dayton West</v>
          </cell>
        </row>
        <row r="592">
          <cell r="B592" t="str">
            <v>OH/Fairborn</v>
          </cell>
        </row>
        <row r="593">
          <cell r="B593" t="str">
            <v>OH/Troy</v>
          </cell>
        </row>
        <row r="594">
          <cell r="B594" t="str">
            <v>OH/Washington CH</v>
          </cell>
        </row>
        <row r="597">
          <cell r="B597" t="str">
            <v>SB 251</v>
          </cell>
        </row>
        <row r="598">
          <cell r="B598" t="str">
            <v>SB 560</v>
          </cell>
        </row>
        <row r="599">
          <cell r="B599" t="str">
            <v>SB 560 PI</v>
          </cell>
        </row>
        <row r="600">
          <cell r="B600" t="str">
            <v>SB 560 SI</v>
          </cell>
        </row>
        <row r="601">
          <cell r="B601" t="str">
            <v>SB 560 SR</v>
          </cell>
        </row>
        <row r="602">
          <cell r="B602" t="str">
            <v>SB 560 C</v>
          </cell>
        </row>
        <row r="603">
          <cell r="B603" t="str">
            <v>SB 560 LPS</v>
          </cell>
        </row>
        <row r="604">
          <cell r="B604" t="str">
            <v>PSA Tracker</v>
          </cell>
        </row>
        <row r="605">
          <cell r="B605" t="str">
            <v>Other</v>
          </cell>
        </row>
        <row r="608">
          <cell r="B608" t="str">
            <v>Yes</v>
          </cell>
        </row>
        <row r="609">
          <cell r="B609" t="str">
            <v>No</v>
          </cell>
        </row>
        <row r="612">
          <cell r="B612" t="str">
            <v>Budgeted</v>
          </cell>
        </row>
        <row r="613">
          <cell r="B613" t="str">
            <v>Scheduled</v>
          </cell>
        </row>
        <row r="614">
          <cell r="B614" t="str">
            <v>In Progress</v>
          </cell>
        </row>
        <row r="615">
          <cell r="B615" t="str">
            <v>Resolved</v>
          </cell>
        </row>
        <row r="616">
          <cell r="B616" t="str">
            <v>Completed</v>
          </cell>
        </row>
        <row r="617">
          <cell r="B617" t="str">
            <v>Rollover</v>
          </cell>
        </row>
        <row r="639">
          <cell r="B639" t="str">
            <v>External Corrosion</v>
          </cell>
          <cell r="C639">
            <v>5</v>
          </cell>
        </row>
        <row r="640">
          <cell r="B640" t="str">
            <v>Internal Corrosion</v>
          </cell>
          <cell r="C640">
            <v>5</v>
          </cell>
        </row>
        <row r="641">
          <cell r="B641" t="str">
            <v>Atmospheric Corrosion</v>
          </cell>
          <cell r="C641">
            <v>3</v>
          </cell>
        </row>
        <row r="642">
          <cell r="B642" t="str">
            <v>Indirect Corrosion</v>
          </cell>
          <cell r="C642">
            <v>2</v>
          </cell>
        </row>
        <row r="643">
          <cell r="B643" t="str">
            <v>Natural Forces</v>
          </cell>
          <cell r="C643">
            <v>5</v>
          </cell>
        </row>
        <row r="644">
          <cell r="B644" t="str">
            <v>Excavation Damage</v>
          </cell>
          <cell r="C644">
            <v>5</v>
          </cell>
        </row>
        <row r="645">
          <cell r="B645" t="str">
            <v>Other Outside Force</v>
          </cell>
          <cell r="C645">
            <v>5</v>
          </cell>
        </row>
        <row r="646">
          <cell r="B646" t="str">
            <v>Material Weld / Joint</v>
          </cell>
          <cell r="C646">
            <v>5</v>
          </cell>
        </row>
        <row r="647">
          <cell r="B647" t="str">
            <v>Equipment Malfunction</v>
          </cell>
          <cell r="C647">
            <v>3</v>
          </cell>
        </row>
        <row r="648">
          <cell r="B648" t="str">
            <v>Inappropriate Operation</v>
          </cell>
          <cell r="C648">
            <v>4</v>
          </cell>
        </row>
        <row r="649">
          <cell r="B649" t="str">
            <v>Sewer Transection</v>
          </cell>
          <cell r="C649">
            <v>4</v>
          </cell>
        </row>
        <row r="650">
          <cell r="B650" t="str">
            <v>Overbuilds / Encroachment</v>
          </cell>
          <cell r="C650">
            <v>3</v>
          </cell>
        </row>
        <row r="651">
          <cell r="B651" t="str">
            <v>Stress Corrosion cracking</v>
          </cell>
          <cell r="C651">
            <v>5</v>
          </cell>
        </row>
        <row r="652">
          <cell r="B652" t="str">
            <v>Seam / Weld / Fab / Girth Def</v>
          </cell>
          <cell r="C652">
            <v>5</v>
          </cell>
        </row>
        <row r="653">
          <cell r="B653" t="str">
            <v>Pipe Body defect</v>
          </cell>
          <cell r="C653">
            <v>3</v>
          </cell>
        </row>
        <row r="654">
          <cell r="B654" t="str">
            <v>Wrinkle Bend</v>
          </cell>
          <cell r="C654">
            <v>2</v>
          </cell>
        </row>
        <row r="655">
          <cell r="B655" t="str">
            <v>Broken thread or coupling</v>
          </cell>
          <cell r="C655">
            <v>1</v>
          </cell>
        </row>
        <row r="656">
          <cell r="B656" t="str">
            <v>Gasket or o-ring failure</v>
          </cell>
          <cell r="C656">
            <v>1</v>
          </cell>
        </row>
        <row r="657">
          <cell r="B657" t="str">
            <v>Pressure control equipment</v>
          </cell>
          <cell r="C657">
            <v>4</v>
          </cell>
        </row>
        <row r="658">
          <cell r="B658" t="str">
            <v>Seal or Packing failure</v>
          </cell>
          <cell r="C658">
            <v>1</v>
          </cell>
        </row>
        <row r="659">
          <cell r="B659" t="str">
            <v>Misc Equipment</v>
          </cell>
          <cell r="C659">
            <v>2</v>
          </cell>
        </row>
        <row r="660">
          <cell r="B660" t="str">
            <v>Risk of Damage</v>
          </cell>
          <cell r="C660">
            <v>3</v>
          </cell>
        </row>
        <row r="661">
          <cell r="B661" t="str">
            <v>Vandalism</v>
          </cell>
          <cell r="C661">
            <v>3</v>
          </cell>
        </row>
        <row r="662">
          <cell r="B662" t="str">
            <v>Incorrect operation</v>
          </cell>
          <cell r="C662">
            <v>3</v>
          </cell>
        </row>
        <row r="663">
          <cell r="B663" t="str">
            <v>Cold Weather</v>
          </cell>
          <cell r="C663">
            <v>1</v>
          </cell>
        </row>
        <row r="664">
          <cell r="B664" t="str">
            <v>Lightning</v>
          </cell>
          <cell r="C664">
            <v>1</v>
          </cell>
        </row>
        <row r="665">
          <cell r="B665" t="str">
            <v>Flooding or heavy rain</v>
          </cell>
          <cell r="C665">
            <v>3</v>
          </cell>
        </row>
        <row r="666">
          <cell r="B666" t="str">
            <v>Soil Movement</v>
          </cell>
          <cell r="C666">
            <v>1</v>
          </cell>
        </row>
        <row r="669">
          <cell r="B669" t="str">
            <v>Pipeline - Steel</v>
          </cell>
          <cell r="C669">
            <v>5</v>
          </cell>
        </row>
        <row r="670">
          <cell r="B670" t="str">
            <v>Pipeline - Plastic</v>
          </cell>
          <cell r="C670">
            <v>4</v>
          </cell>
        </row>
        <row r="671">
          <cell r="B671" t="str">
            <v>Pipeline - Cast Iron</v>
          </cell>
          <cell r="C671">
            <v>5</v>
          </cell>
        </row>
        <row r="672">
          <cell r="B672" t="str">
            <v>Valve</v>
          </cell>
          <cell r="C672">
            <v>3</v>
          </cell>
        </row>
        <row r="673">
          <cell r="B673" t="str">
            <v>Pipeline Heater</v>
          </cell>
          <cell r="C673">
            <v>3</v>
          </cell>
        </row>
        <row r="674">
          <cell r="B674" t="str">
            <v>Odorizer</v>
          </cell>
          <cell r="C674">
            <v>3</v>
          </cell>
        </row>
        <row r="675">
          <cell r="B675" t="str">
            <v>Filter</v>
          </cell>
          <cell r="C675">
            <v>2</v>
          </cell>
        </row>
        <row r="676">
          <cell r="B676" t="str">
            <v>Pressure Control</v>
          </cell>
          <cell r="C676">
            <v>4</v>
          </cell>
        </row>
        <row r="677">
          <cell r="B677" t="str">
            <v>Meter</v>
          </cell>
          <cell r="C677">
            <v>4</v>
          </cell>
        </row>
        <row r="678">
          <cell r="B678" t="str">
            <v>Service Line - Steel</v>
          </cell>
          <cell r="C678">
            <v>5</v>
          </cell>
        </row>
        <row r="679">
          <cell r="B679" t="str">
            <v>Service Line - Plastic</v>
          </cell>
          <cell r="C679">
            <v>4</v>
          </cell>
        </row>
        <row r="680">
          <cell r="B680" t="str">
            <v>Service Line - Other</v>
          </cell>
          <cell r="C680">
            <v>5</v>
          </cell>
        </row>
        <row r="681">
          <cell r="B681" t="str">
            <v>Gas Quality Equip</v>
          </cell>
          <cell r="C681">
            <v>2</v>
          </cell>
        </row>
        <row r="684">
          <cell r="B684" t="str">
            <v>Unknown</v>
          </cell>
          <cell r="C684">
            <v>3</v>
          </cell>
        </row>
        <row r="685">
          <cell r="B685" t="str">
            <v>2000-current</v>
          </cell>
          <cell r="C685">
            <v>1</v>
          </cell>
        </row>
        <row r="686">
          <cell r="B686" t="str">
            <v>1985 - 1999</v>
          </cell>
          <cell r="C686">
            <v>2</v>
          </cell>
        </row>
        <row r="687">
          <cell r="B687" t="str">
            <v>1971 - 1985</v>
          </cell>
          <cell r="C687">
            <v>4</v>
          </cell>
        </row>
        <row r="688">
          <cell r="B688" t="str">
            <v>1955 -1970</v>
          </cell>
          <cell r="C688">
            <v>4</v>
          </cell>
        </row>
        <row r="689">
          <cell r="B689" t="str">
            <v>Prior to 1955</v>
          </cell>
          <cell r="C689">
            <v>5</v>
          </cell>
        </row>
        <row r="690">
          <cell r="B690" t="str">
            <v>N/A</v>
          </cell>
          <cell r="C690">
            <v>3</v>
          </cell>
        </row>
        <row r="693">
          <cell r="B693" t="str">
            <v>Unknown</v>
          </cell>
          <cell r="C693">
            <v>5</v>
          </cell>
        </row>
        <row r="694">
          <cell r="B694" t="str">
            <v>HP Dist: &gt; 60 psig &amp; &lt;20%</v>
          </cell>
          <cell r="C694">
            <v>2</v>
          </cell>
        </row>
        <row r="695">
          <cell r="B695" t="str">
            <v>Distribution &lt;60psig</v>
          </cell>
          <cell r="C695">
            <v>1</v>
          </cell>
        </row>
        <row r="696">
          <cell r="B696" t="str">
            <v>Transmission: 20% - 30%</v>
          </cell>
          <cell r="C696">
            <v>3</v>
          </cell>
        </row>
        <row r="697">
          <cell r="B697" t="str">
            <v>Transmission: 30% - 50%</v>
          </cell>
          <cell r="C697">
            <v>4</v>
          </cell>
        </row>
        <row r="698">
          <cell r="B698" t="str">
            <v>Transmission: &gt; 50%</v>
          </cell>
          <cell r="C698">
            <v>5</v>
          </cell>
        </row>
        <row r="701">
          <cell r="B701" t="str">
            <v>Yes</v>
          </cell>
          <cell r="C701">
            <v>4</v>
          </cell>
        </row>
        <row r="702">
          <cell r="B702" t="str">
            <v>No</v>
          </cell>
          <cell r="C702">
            <v>1</v>
          </cell>
        </row>
        <row r="703">
          <cell r="B703" t="str">
            <v>N/A</v>
          </cell>
          <cell r="C703">
            <v>1</v>
          </cell>
        </row>
        <row r="706">
          <cell r="B706" t="str">
            <v>Residential</v>
          </cell>
          <cell r="C706">
            <v>4</v>
          </cell>
        </row>
        <row r="707">
          <cell r="B707" t="str">
            <v>Business District</v>
          </cell>
          <cell r="C707">
            <v>5</v>
          </cell>
        </row>
        <row r="708">
          <cell r="B708" t="str">
            <v>Rural</v>
          </cell>
          <cell r="C708">
            <v>2</v>
          </cell>
        </row>
        <row r="709">
          <cell r="B709" t="str">
            <v>Class 1  (1-10)</v>
          </cell>
          <cell r="C709">
            <v>1</v>
          </cell>
        </row>
        <row r="710">
          <cell r="B710" t="str">
            <v>Class 2 (11-46)</v>
          </cell>
          <cell r="C710">
            <v>2</v>
          </cell>
        </row>
        <row r="711">
          <cell r="B711" t="str">
            <v>Class 3 (&gt;  46)</v>
          </cell>
          <cell r="C711">
            <v>4</v>
          </cell>
        </row>
        <row r="712">
          <cell r="B712" t="str">
            <v>Class 4 (4+stories bldgs)</v>
          </cell>
          <cell r="C712">
            <v>5</v>
          </cell>
        </row>
        <row r="715">
          <cell r="B715" t="str">
            <v>&lt; 1yr</v>
          </cell>
          <cell r="C715">
            <v>5</v>
          </cell>
        </row>
        <row r="716">
          <cell r="B716" t="str">
            <v>&gt; 1 yr / &lt; 2 yr</v>
          </cell>
          <cell r="C716">
            <v>4</v>
          </cell>
        </row>
        <row r="717">
          <cell r="B717" t="str">
            <v>&gt; 2 yr / &lt; 3 yr</v>
          </cell>
          <cell r="C717">
            <v>3</v>
          </cell>
        </row>
        <row r="718">
          <cell r="B718" t="str">
            <v>&gt; 3 yr / &lt; 4 yr</v>
          </cell>
          <cell r="C718">
            <v>2</v>
          </cell>
        </row>
        <row r="719">
          <cell r="B719" t="str">
            <v>&gt; 4 yr / &lt; 5 yr</v>
          </cell>
          <cell r="C719">
            <v>1</v>
          </cell>
        </row>
        <row r="720">
          <cell r="B720" t="str">
            <v>N/A</v>
          </cell>
          <cell r="C720">
            <v>0</v>
          </cell>
        </row>
        <row r="723">
          <cell r="B723" t="str">
            <v>Ready to inspect</v>
          </cell>
          <cell r="C723">
            <v>1</v>
          </cell>
        </row>
        <row r="724">
          <cell r="B724" t="str">
            <v>Traps in place + Minor modifications needed</v>
          </cell>
          <cell r="C724">
            <v>2</v>
          </cell>
        </row>
        <row r="725">
          <cell r="B725" t="str">
            <v>Traps required + Minor modifications needed</v>
          </cell>
          <cell r="C725">
            <v>3</v>
          </cell>
        </row>
        <row r="726">
          <cell r="B726" t="str">
            <v>Traps required + Major modifications needed</v>
          </cell>
          <cell r="C726">
            <v>4</v>
          </cell>
        </row>
        <row r="727">
          <cell r="B727" t="str">
            <v>Not feasible for modification to all smart pigging</v>
          </cell>
          <cell r="C727">
            <v>5</v>
          </cell>
        </row>
        <row r="728">
          <cell r="B728" t="str">
            <v>N/A</v>
          </cell>
          <cell r="C728">
            <v>1</v>
          </cell>
        </row>
        <row r="731">
          <cell r="B731" t="str">
            <v>Wall/Wall Pavement</v>
          </cell>
          <cell r="C731">
            <v>5</v>
          </cell>
        </row>
        <row r="732">
          <cell r="B732" t="str">
            <v>Cased Crossing</v>
          </cell>
          <cell r="C732">
            <v>2</v>
          </cell>
        </row>
        <row r="733">
          <cell r="B733" t="str">
            <v>Non- Cased Crossing</v>
          </cell>
          <cell r="C733">
            <v>4</v>
          </cell>
        </row>
        <row r="734">
          <cell r="B734" t="str">
            <v>Extra Depth</v>
          </cell>
          <cell r="C734">
            <v>4</v>
          </cell>
        </row>
        <row r="735">
          <cell r="B735" t="str">
            <v>Water Crossing</v>
          </cell>
          <cell r="C735">
            <v>5</v>
          </cell>
        </row>
        <row r="736">
          <cell r="B736" t="str">
            <v>Farm / Native Soil</v>
          </cell>
          <cell r="C736">
            <v>2</v>
          </cell>
        </row>
        <row r="737">
          <cell r="B737" t="str">
            <v>Above-Ground</v>
          </cell>
          <cell r="C737">
            <v>2</v>
          </cell>
        </row>
        <row r="738">
          <cell r="B738" t="str">
            <v>Below-Ground - Pit / Vault</v>
          </cell>
          <cell r="C738">
            <v>3</v>
          </cell>
        </row>
        <row r="739">
          <cell r="B739" t="str">
            <v>Street / Public ROW</v>
          </cell>
          <cell r="C739">
            <v>4</v>
          </cell>
        </row>
        <row r="742">
          <cell r="B742" t="str">
            <v>Time Sensitive (Current Year)</v>
          </cell>
          <cell r="C742">
            <v>5</v>
          </cell>
        </row>
        <row r="743">
          <cell r="B743" t="str">
            <v>Time Sensitive (1-2 years)</v>
          </cell>
          <cell r="C743">
            <v>3</v>
          </cell>
        </row>
        <row r="744">
          <cell r="B744" t="str">
            <v>Time Sensitive (3-5 years)</v>
          </cell>
          <cell r="C744">
            <v>2</v>
          </cell>
        </row>
        <row r="745">
          <cell r="B745" t="str">
            <v>Operations &amp; Maintenance</v>
          </cell>
          <cell r="C745">
            <v>1</v>
          </cell>
        </row>
        <row r="746">
          <cell r="B746" t="str">
            <v xml:space="preserve">High Impact </v>
          </cell>
          <cell r="C746">
            <v>5</v>
          </cell>
        </row>
        <row r="749">
          <cell r="B749" t="str">
            <v>Local</v>
          </cell>
          <cell r="C749">
            <v>3</v>
          </cell>
        </row>
        <row r="750">
          <cell r="B750" t="str">
            <v>State Permit</v>
          </cell>
          <cell r="C750">
            <v>4</v>
          </cell>
        </row>
        <row r="751">
          <cell r="B751" t="str">
            <v>Federal Permit</v>
          </cell>
          <cell r="C751">
            <v>5</v>
          </cell>
        </row>
        <row r="752">
          <cell r="B752" t="str">
            <v>Environmental</v>
          </cell>
          <cell r="C752">
            <v>5</v>
          </cell>
        </row>
        <row r="753">
          <cell r="B753" t="str">
            <v>No Long Lead Permits</v>
          </cell>
          <cell r="C753">
            <v>1</v>
          </cell>
        </row>
        <row r="756">
          <cell r="B756" t="str">
            <v>Low PSI / Capacity</v>
          </cell>
          <cell r="C756">
            <v>4</v>
          </cell>
        </row>
        <row r="757">
          <cell r="B757" t="str">
            <v>Water</v>
          </cell>
          <cell r="C757">
            <v>5</v>
          </cell>
        </row>
        <row r="758">
          <cell r="B758" t="str">
            <v>Unlocatable Pipe</v>
          </cell>
          <cell r="C758">
            <v>5</v>
          </cell>
        </row>
        <row r="759">
          <cell r="B759" t="str">
            <v>None Identified</v>
          </cell>
          <cell r="C759">
            <v>0</v>
          </cell>
        </row>
        <row r="762">
          <cell r="B762" t="str">
            <v>Long Lead Time</v>
          </cell>
          <cell r="C762">
            <v>4</v>
          </cell>
        </row>
        <row r="763">
          <cell r="B763" t="str">
            <v xml:space="preserve">Obsolete Material </v>
          </cell>
          <cell r="C763">
            <v>5</v>
          </cell>
        </row>
        <row r="764">
          <cell r="B764" t="str">
            <v>Material Available</v>
          </cell>
          <cell r="C764">
            <v>1</v>
          </cell>
        </row>
      </sheetData>
      <sheetData sheetId="9" refreshError="1">
        <row r="2">
          <cell r="A2" t="str">
            <v>NE4001</v>
          </cell>
          <cell r="B2">
            <v>25.5854</v>
          </cell>
        </row>
        <row r="3">
          <cell r="A3" t="str">
            <v>NE4001</v>
          </cell>
          <cell r="B3">
            <v>5.8658663214730797</v>
          </cell>
        </row>
        <row r="4">
          <cell r="A4" t="str">
            <v>NE4002</v>
          </cell>
          <cell r="B4">
            <v>5.9173999999999998</v>
          </cell>
        </row>
        <row r="5">
          <cell r="A5" t="str">
            <v>NE4002</v>
          </cell>
          <cell r="B5">
            <v>5.8531805250536504</v>
          </cell>
        </row>
        <row r="6">
          <cell r="A6" t="str">
            <v>NE4003</v>
          </cell>
          <cell r="B6">
            <v>22.232199999999999</v>
          </cell>
        </row>
        <row r="7">
          <cell r="A7" t="str">
            <v>NE4003</v>
          </cell>
          <cell r="B7">
            <v>5.8404947286342299</v>
          </cell>
        </row>
        <row r="8">
          <cell r="A8" t="str">
            <v>NE4004</v>
          </cell>
          <cell r="B8">
            <v>19.491099999999999</v>
          </cell>
        </row>
        <row r="9">
          <cell r="A9" t="str">
            <v>NE4004</v>
          </cell>
          <cell r="B9">
            <v>5.8278089322148103</v>
          </cell>
        </row>
        <row r="10">
          <cell r="A10" t="str">
            <v>NE4005</v>
          </cell>
          <cell r="B10">
            <v>14.8757</v>
          </cell>
        </row>
        <row r="11">
          <cell r="A11" t="str">
            <v>NE4005</v>
          </cell>
          <cell r="B11">
            <v>5.8151231357953899</v>
          </cell>
        </row>
        <row r="12">
          <cell r="A12" t="str">
            <v>NE4006</v>
          </cell>
          <cell r="B12">
            <v>16.962199999999999</v>
          </cell>
        </row>
        <row r="13">
          <cell r="A13" t="str">
            <v>NE4006</v>
          </cell>
          <cell r="B13">
            <v>5.8024373393759703</v>
          </cell>
        </row>
        <row r="14">
          <cell r="A14" t="str">
            <v>NE4007</v>
          </cell>
          <cell r="B14">
            <v>7.7610999999999999</v>
          </cell>
        </row>
        <row r="15">
          <cell r="A15" t="str">
            <v>NE4007</v>
          </cell>
          <cell r="B15">
            <v>5.7897515429565498</v>
          </cell>
        </row>
        <row r="16">
          <cell r="A16" t="str">
            <v>NE4008</v>
          </cell>
          <cell r="B16">
            <v>9.7829999999999995</v>
          </cell>
        </row>
        <row r="17">
          <cell r="A17" t="str">
            <v>NE4008</v>
          </cell>
          <cell r="B17">
            <v>5.7770657465371302</v>
          </cell>
        </row>
        <row r="18">
          <cell r="A18" t="str">
            <v>NE4009</v>
          </cell>
          <cell r="B18">
            <v>15.1386</v>
          </cell>
        </row>
        <row r="19">
          <cell r="A19" t="str">
            <v>NE4009</v>
          </cell>
          <cell r="B19">
            <v>5.7643799501177098</v>
          </cell>
        </row>
        <row r="20">
          <cell r="A20" t="str">
            <v>NE4010</v>
          </cell>
          <cell r="B20">
            <v>11.228899999999999</v>
          </cell>
        </row>
        <row r="21">
          <cell r="A21" t="str">
            <v>NE4010</v>
          </cell>
          <cell r="B21">
            <v>5.7516941536982902</v>
          </cell>
        </row>
        <row r="22">
          <cell r="A22" t="str">
            <v>NE4012</v>
          </cell>
          <cell r="B22">
            <v>19.5243</v>
          </cell>
        </row>
        <row r="23">
          <cell r="A23" t="str">
            <v>NE4012</v>
          </cell>
          <cell r="B23">
            <v>5.7390083572788697</v>
          </cell>
        </row>
        <row r="24">
          <cell r="A24" t="str">
            <v>NE4013</v>
          </cell>
          <cell r="B24">
            <v>9.1304999999999996</v>
          </cell>
        </row>
        <row r="25">
          <cell r="A25" t="str">
            <v>NE4013</v>
          </cell>
          <cell r="B25">
            <v>5.7263225608594501</v>
          </cell>
        </row>
        <row r="26">
          <cell r="A26" t="str">
            <v>NE4014</v>
          </cell>
          <cell r="B26">
            <v>8.7512000000000008</v>
          </cell>
        </row>
        <row r="27">
          <cell r="A27" t="str">
            <v>NE4014</v>
          </cell>
          <cell r="B27">
            <v>5.7136367644400297</v>
          </cell>
        </row>
        <row r="28">
          <cell r="A28" t="str">
            <v>NE4015</v>
          </cell>
          <cell r="B28">
            <v>20.802199999999999</v>
          </cell>
        </row>
        <row r="29">
          <cell r="A29" t="str">
            <v>NE4015</v>
          </cell>
          <cell r="B29">
            <v>5.7009509680206101</v>
          </cell>
        </row>
        <row r="30">
          <cell r="A30" t="str">
            <v>NE4016</v>
          </cell>
          <cell r="B30">
            <v>9.4640000000000004</v>
          </cell>
        </row>
        <row r="31">
          <cell r="A31" t="str">
            <v>NE4016</v>
          </cell>
          <cell r="B31">
            <v>5.6882651716011896</v>
          </cell>
        </row>
        <row r="32">
          <cell r="A32" t="str">
            <v>NE4017</v>
          </cell>
          <cell r="B32">
            <v>11.6906</v>
          </cell>
        </row>
        <row r="33">
          <cell r="A33" t="str">
            <v>NE4017</v>
          </cell>
          <cell r="B33">
            <v>5.67557937518177</v>
          </cell>
        </row>
        <row r="34">
          <cell r="A34" t="str">
            <v>NE4018</v>
          </cell>
          <cell r="B34">
            <v>14.6402</v>
          </cell>
        </row>
        <row r="35">
          <cell r="A35" t="str">
            <v>NE4018</v>
          </cell>
          <cell r="B35">
            <v>5.6628935787623504</v>
          </cell>
        </row>
        <row r="36">
          <cell r="A36" t="str">
            <v>NE4019</v>
          </cell>
          <cell r="B36">
            <v>16.918600000000001</v>
          </cell>
        </row>
        <row r="37">
          <cell r="A37" t="str">
            <v>NE4019</v>
          </cell>
          <cell r="B37">
            <v>5.65020778234293</v>
          </cell>
        </row>
        <row r="38">
          <cell r="A38" t="str">
            <v>NE4019.S001</v>
          </cell>
          <cell r="B38">
            <v>7.9560000000000004</v>
          </cell>
        </row>
        <row r="39">
          <cell r="A39" t="str">
            <v>NE4019.S002</v>
          </cell>
          <cell r="B39">
            <v>7.5612000000000004</v>
          </cell>
        </row>
        <row r="40">
          <cell r="A40" t="str">
            <v>NE4019.S003</v>
          </cell>
          <cell r="B40">
            <v>7.3944999999999999</v>
          </cell>
        </row>
        <row r="41">
          <cell r="A41" t="str">
            <v>NE4019.S004</v>
          </cell>
          <cell r="B41">
            <v>8.0806000000000004</v>
          </cell>
        </row>
        <row r="42">
          <cell r="A42" t="str">
            <v>NE4019.S005</v>
          </cell>
          <cell r="B42">
            <v>7.2789000000000001</v>
          </cell>
        </row>
        <row r="43">
          <cell r="A43" t="str">
            <v>NE4019.S006</v>
          </cell>
          <cell r="B43">
            <v>5.6375219859235104</v>
          </cell>
        </row>
        <row r="44">
          <cell r="A44" t="str">
            <v>NE4019.S007</v>
          </cell>
          <cell r="B44">
            <v>5.6248361895040899</v>
          </cell>
        </row>
        <row r="45">
          <cell r="A45" t="str">
            <v>NE4019.S008</v>
          </cell>
          <cell r="B45">
            <v>5.6121503930846703</v>
          </cell>
        </row>
        <row r="46">
          <cell r="A46" t="str">
            <v>NE4019.S009</v>
          </cell>
          <cell r="B46">
            <v>5.5994645966652499</v>
          </cell>
        </row>
        <row r="47">
          <cell r="A47" t="str">
            <v>NE4019.S010</v>
          </cell>
          <cell r="B47">
            <v>5.5867788002458303</v>
          </cell>
        </row>
        <row r="48">
          <cell r="A48" t="str">
            <v>NE4020</v>
          </cell>
          <cell r="B48">
            <v>9.7838999999999992</v>
          </cell>
        </row>
        <row r="49">
          <cell r="A49" t="str">
            <v>NE4020</v>
          </cell>
          <cell r="B49">
            <v>5.5740930038264098</v>
          </cell>
        </row>
        <row r="50">
          <cell r="A50" t="str">
            <v>NE4021</v>
          </cell>
          <cell r="B50">
            <v>9.0787999999999993</v>
          </cell>
        </row>
        <row r="51">
          <cell r="A51" t="str">
            <v>NE4022</v>
          </cell>
          <cell r="B51">
            <v>15.7196</v>
          </cell>
        </row>
        <row r="52">
          <cell r="A52" t="str">
            <v>NE4023</v>
          </cell>
          <cell r="B52">
            <v>18.476299999999998</v>
          </cell>
        </row>
        <row r="53">
          <cell r="A53" t="str">
            <v>NE4024</v>
          </cell>
          <cell r="B53">
            <v>14.3795</v>
          </cell>
        </row>
        <row r="54">
          <cell r="A54" t="str">
            <v>NE4025</v>
          </cell>
          <cell r="B54">
            <v>8.8272999999999993</v>
          </cell>
        </row>
        <row r="55">
          <cell r="A55" t="str">
            <v>NE4027</v>
          </cell>
          <cell r="B55">
            <v>8.1514000000000006</v>
          </cell>
        </row>
        <row r="56">
          <cell r="A56" t="str">
            <v>NE4028</v>
          </cell>
          <cell r="B56">
            <v>6.8855000000000004</v>
          </cell>
        </row>
        <row r="57">
          <cell r="A57" t="str">
            <v>NE4029</v>
          </cell>
          <cell r="B57">
            <v>17.158999999999999</v>
          </cell>
        </row>
        <row r="58">
          <cell r="A58" t="str">
            <v>NE4030</v>
          </cell>
          <cell r="B58">
            <v>8.3254000000000001</v>
          </cell>
        </row>
        <row r="59">
          <cell r="A59" t="str">
            <v>NE4031</v>
          </cell>
          <cell r="B59">
            <v>11.6645</v>
          </cell>
        </row>
        <row r="60">
          <cell r="A60" t="str">
            <v>NE4031.S001</v>
          </cell>
          <cell r="B60">
            <v>5.9587000000000003</v>
          </cell>
        </row>
        <row r="61">
          <cell r="A61" t="str">
            <v>NE4032</v>
          </cell>
          <cell r="B61">
            <v>7.4653999999999998</v>
          </cell>
        </row>
        <row r="62">
          <cell r="A62" t="str">
            <v>NE4033</v>
          </cell>
          <cell r="B62">
            <v>6.5876000000000001</v>
          </cell>
        </row>
        <row r="63">
          <cell r="A63" t="str">
            <v>NS5001</v>
          </cell>
          <cell r="B63">
            <v>16.450099999999999</v>
          </cell>
        </row>
        <row r="64">
          <cell r="A64" t="str">
            <v>NS5002</v>
          </cell>
          <cell r="B64">
            <v>21.3827</v>
          </cell>
        </row>
        <row r="65">
          <cell r="A65" t="str">
            <v>NS5003</v>
          </cell>
          <cell r="B65">
            <v>22.5594</v>
          </cell>
        </row>
        <row r="66">
          <cell r="A66" t="str">
            <v>NS5004</v>
          </cell>
          <cell r="B66">
            <v>16.045100000000001</v>
          </cell>
        </row>
        <row r="67">
          <cell r="A67" t="str">
            <v>NS5005</v>
          </cell>
          <cell r="B67">
            <v>19.691299999999998</v>
          </cell>
        </row>
        <row r="68">
          <cell r="A68" t="str">
            <v>NS5006</v>
          </cell>
          <cell r="B68">
            <v>25.665400000000002</v>
          </cell>
        </row>
        <row r="69">
          <cell r="A69" t="str">
            <v>NS5007</v>
          </cell>
          <cell r="B69">
            <v>9.3331</v>
          </cell>
        </row>
        <row r="70">
          <cell r="A70" t="str">
            <v>NS5008</v>
          </cell>
          <cell r="B70">
            <v>17.103999999999999</v>
          </cell>
        </row>
        <row r="71">
          <cell r="A71" t="str">
            <v>NS5009</v>
          </cell>
          <cell r="B71">
            <v>13.572100000000001</v>
          </cell>
        </row>
        <row r="72">
          <cell r="A72" t="str">
            <v>NS5010</v>
          </cell>
          <cell r="B72">
            <v>13.195</v>
          </cell>
        </row>
        <row r="73">
          <cell r="A73" t="str">
            <v>NS5011</v>
          </cell>
          <cell r="B73">
            <v>14.6777</v>
          </cell>
        </row>
        <row r="74">
          <cell r="A74" t="str">
            <v>NS5012</v>
          </cell>
          <cell r="B74">
            <v>14.6777</v>
          </cell>
        </row>
        <row r="75">
          <cell r="A75" t="str">
            <v>NS5013</v>
          </cell>
          <cell r="B75">
            <v>16.872399999999999</v>
          </cell>
        </row>
        <row r="76">
          <cell r="A76" t="str">
            <v>NS5014</v>
          </cell>
          <cell r="B76">
            <v>21.509599999999999</v>
          </cell>
        </row>
        <row r="77">
          <cell r="A77" t="str">
            <v>NS5015</v>
          </cell>
          <cell r="B77">
            <v>15.69</v>
          </cell>
        </row>
        <row r="78">
          <cell r="A78" t="str">
            <v>NS5015.S001</v>
          </cell>
          <cell r="B78">
            <v>10.0623</v>
          </cell>
        </row>
        <row r="79">
          <cell r="A79" t="str">
            <v>NS5015.S002</v>
          </cell>
          <cell r="B79">
            <v>10.6073</v>
          </cell>
        </row>
        <row r="80">
          <cell r="A80" t="str">
            <v>NS5015.S003</v>
          </cell>
          <cell r="B80">
            <v>9.9100999999999999</v>
          </cell>
        </row>
        <row r="81">
          <cell r="A81" t="str">
            <v>NS5015.S004</v>
          </cell>
          <cell r="B81">
            <v>6.9173999999999998</v>
          </cell>
        </row>
        <row r="82">
          <cell r="A82" t="str">
            <v>NS5015.S005</v>
          </cell>
          <cell r="B82">
            <v>9.8962000000000003</v>
          </cell>
        </row>
        <row r="83">
          <cell r="A83" t="str">
            <v>NS5015.S006</v>
          </cell>
          <cell r="B83">
            <v>9.8962000000000003</v>
          </cell>
        </row>
        <row r="84">
          <cell r="A84" t="str">
            <v>NS5016</v>
          </cell>
          <cell r="B84">
            <v>24.632400000000001</v>
          </cell>
        </row>
        <row r="85">
          <cell r="A85" t="str">
            <v>NS5017</v>
          </cell>
          <cell r="B85">
            <v>20.200800000000001</v>
          </cell>
        </row>
        <row r="86">
          <cell r="A86" t="str">
            <v>NS5050</v>
          </cell>
          <cell r="B86">
            <v>10.5313</v>
          </cell>
        </row>
        <row r="87">
          <cell r="A87" t="str">
            <v>NS5051</v>
          </cell>
          <cell r="B87">
            <v>12.170199999999999</v>
          </cell>
        </row>
        <row r="88">
          <cell r="A88" t="str">
            <v>NS5052</v>
          </cell>
          <cell r="B88">
            <v>14.451499999999999</v>
          </cell>
        </row>
        <row r="89">
          <cell r="A89" t="str">
            <v>NS5053</v>
          </cell>
          <cell r="B89">
            <v>11.0344</v>
          </cell>
        </row>
        <row r="90">
          <cell r="A90" t="str">
            <v>NS5054</v>
          </cell>
          <cell r="B90">
            <v>4.9283999999999999</v>
          </cell>
        </row>
        <row r="91">
          <cell r="A91" t="str">
            <v>NS5055</v>
          </cell>
          <cell r="B91">
            <v>13.318899999999999</v>
          </cell>
        </row>
        <row r="92">
          <cell r="A92" t="str">
            <v>NS5056</v>
          </cell>
          <cell r="B92">
            <v>15.259600000000001</v>
          </cell>
        </row>
        <row r="93">
          <cell r="A93" t="str">
            <v>NS5057</v>
          </cell>
          <cell r="B93">
            <v>19.988900000000001</v>
          </cell>
        </row>
        <row r="94">
          <cell r="A94" t="str">
            <v>NS5058</v>
          </cell>
          <cell r="B94">
            <v>19.9072</v>
          </cell>
        </row>
        <row r="95">
          <cell r="A95" t="str">
            <v>NS5059</v>
          </cell>
          <cell r="B95">
            <v>16.035699999999999</v>
          </cell>
        </row>
        <row r="96">
          <cell r="A96" t="str">
            <v>NS5060</v>
          </cell>
          <cell r="B96">
            <v>13.531499999999999</v>
          </cell>
        </row>
        <row r="97">
          <cell r="A97" t="str">
            <v>NS5061</v>
          </cell>
          <cell r="B97">
            <v>18.7348</v>
          </cell>
        </row>
        <row r="98">
          <cell r="A98" t="str">
            <v>NS5120</v>
          </cell>
          <cell r="B98">
            <v>22.799700000000001</v>
          </cell>
        </row>
        <row r="99">
          <cell r="A99" t="str">
            <v>NS5140</v>
          </cell>
          <cell r="B99">
            <v>20.581199999999999</v>
          </cell>
        </row>
        <row r="100">
          <cell r="A100" t="str">
            <v>NS5141</v>
          </cell>
          <cell r="B100">
            <v>13.4992</v>
          </cell>
        </row>
        <row r="101">
          <cell r="A101" t="str">
            <v>NS5142</v>
          </cell>
          <cell r="B101">
            <v>23.835100000000001</v>
          </cell>
        </row>
        <row r="102">
          <cell r="A102" t="str">
            <v>NS5143</v>
          </cell>
          <cell r="B102">
            <v>25.8094</v>
          </cell>
        </row>
        <row r="103">
          <cell r="A103" t="str">
            <v>NS5144</v>
          </cell>
          <cell r="B103">
            <v>15.3095</v>
          </cell>
        </row>
        <row r="104">
          <cell r="A104" t="str">
            <v>NS5145</v>
          </cell>
          <cell r="B104">
            <v>19.7727</v>
          </cell>
        </row>
        <row r="105">
          <cell r="A105" t="str">
            <v>NS5146</v>
          </cell>
          <cell r="B105">
            <v>12.562799999999999</v>
          </cell>
        </row>
        <row r="106">
          <cell r="A106" t="str">
            <v>NS5147</v>
          </cell>
          <cell r="B106">
            <v>13.1195</v>
          </cell>
        </row>
        <row r="107">
          <cell r="A107" t="str">
            <v>NS5148</v>
          </cell>
          <cell r="B107">
            <v>8.0152999999999999</v>
          </cell>
        </row>
        <row r="108">
          <cell r="A108" t="str">
            <v>NS5149</v>
          </cell>
          <cell r="B108">
            <v>7.1919000000000004</v>
          </cell>
        </row>
        <row r="109">
          <cell r="A109" t="str">
            <v>NS5150</v>
          </cell>
          <cell r="B109">
            <v>10.012700000000001</v>
          </cell>
        </row>
        <row r="110">
          <cell r="A110" t="str">
            <v>NS5700</v>
          </cell>
          <cell r="B110">
            <v>5.4846000000000004</v>
          </cell>
        </row>
        <row r="111">
          <cell r="A111" t="str">
            <v>NS5701</v>
          </cell>
          <cell r="B111">
            <v>5.3495999999999997</v>
          </cell>
        </row>
        <row r="112">
          <cell r="A112" t="str">
            <v>NS5702</v>
          </cell>
          <cell r="B112">
            <v>5.2632000000000003</v>
          </cell>
        </row>
        <row r="113">
          <cell r="A113" t="str">
            <v>NS5703</v>
          </cell>
          <cell r="B113">
            <v>5.3872</v>
          </cell>
        </row>
        <row r="114">
          <cell r="A114" t="str">
            <v>NS5704</v>
          </cell>
          <cell r="B114">
            <v>5.2365000000000004</v>
          </cell>
        </row>
        <row r="115">
          <cell r="A115" t="str">
            <v>NS5705</v>
          </cell>
          <cell r="B115">
            <v>5.2632000000000003</v>
          </cell>
        </row>
        <row r="116">
          <cell r="A116" t="str">
            <v>NS5706</v>
          </cell>
          <cell r="B116">
            <v>4.9194000000000004</v>
          </cell>
        </row>
        <row r="117">
          <cell r="A117" t="str">
            <v>NS5707</v>
          </cell>
          <cell r="B117">
            <v>5.3045</v>
          </cell>
        </row>
        <row r="118">
          <cell r="A118" t="str">
            <v>NS5708</v>
          </cell>
          <cell r="B118">
            <v>5.4020000000000001</v>
          </cell>
        </row>
        <row r="119">
          <cell r="A119" t="str">
            <v>NS5709</v>
          </cell>
          <cell r="B119">
            <v>4.9127999999999998</v>
          </cell>
        </row>
        <row r="120">
          <cell r="A120" t="str">
            <v>NS5710</v>
          </cell>
          <cell r="B120">
            <v>5.5403000000000002</v>
          </cell>
        </row>
        <row r="121">
          <cell r="A121" t="str">
            <v>NS5711</v>
          </cell>
          <cell r="B121">
            <v>5.2778</v>
          </cell>
        </row>
        <row r="122">
          <cell r="A122" t="str">
            <v>NS5712</v>
          </cell>
          <cell r="B122">
            <v>5.1329000000000002</v>
          </cell>
        </row>
        <row r="123">
          <cell r="A123" t="str">
            <v>NS5713</v>
          </cell>
          <cell r="B123">
            <v>4.9177999999999997</v>
          </cell>
        </row>
        <row r="124">
          <cell r="A124" t="str">
            <v>NS5714</v>
          </cell>
          <cell r="B124">
            <v>5.2365000000000004</v>
          </cell>
        </row>
        <row r="125">
          <cell r="A125" t="str">
            <v>NS5715</v>
          </cell>
          <cell r="B125">
            <v>5.1489000000000003</v>
          </cell>
        </row>
        <row r="126">
          <cell r="A126" t="str">
            <v>NS5716</v>
          </cell>
          <cell r="B126">
            <v>5.2728999999999999</v>
          </cell>
        </row>
        <row r="127">
          <cell r="A127" t="str">
            <v>NS5717</v>
          </cell>
          <cell r="B127">
            <v>8.16</v>
          </cell>
        </row>
        <row r="128">
          <cell r="A128" t="str">
            <v>NS5718</v>
          </cell>
          <cell r="B128">
            <v>5.3956</v>
          </cell>
        </row>
        <row r="129">
          <cell r="A129" t="str">
            <v>NS5719</v>
          </cell>
          <cell r="B129">
            <v>5.2632000000000003</v>
          </cell>
        </row>
        <row r="130">
          <cell r="A130" t="str">
            <v>NS5720</v>
          </cell>
          <cell r="B130">
            <v>6.6661000000000001</v>
          </cell>
        </row>
        <row r="131">
          <cell r="A131" t="str">
            <v>NS5721</v>
          </cell>
          <cell r="B131">
            <v>5.4162999999999997</v>
          </cell>
        </row>
        <row r="132">
          <cell r="A132" t="str">
            <v>NS5750</v>
          </cell>
          <cell r="B132">
            <v>9.7805999999999997</v>
          </cell>
        </row>
        <row r="133">
          <cell r="A133" t="str">
            <v>NS5751</v>
          </cell>
          <cell r="B133">
            <v>7.4444999999999997</v>
          </cell>
        </row>
        <row r="134">
          <cell r="A134" t="str">
            <v>NS5752</v>
          </cell>
          <cell r="B134">
            <v>5.5195999999999996</v>
          </cell>
        </row>
        <row r="135">
          <cell r="A135" t="str">
            <v>NS5753</v>
          </cell>
          <cell r="B135">
            <v>5.5023</v>
          </cell>
        </row>
        <row r="136">
          <cell r="A136" t="str">
            <v>NS5754</v>
          </cell>
          <cell r="B136">
            <v>5.8654000000000002</v>
          </cell>
        </row>
        <row r="137">
          <cell r="A137" t="str">
            <v>NS5755</v>
          </cell>
          <cell r="B137">
            <v>5.3992000000000004</v>
          </cell>
        </row>
        <row r="138">
          <cell r="A138" t="str">
            <v>NS5756</v>
          </cell>
          <cell r="B138">
            <v>5.3388</v>
          </cell>
        </row>
        <row r="139">
          <cell r="A139" t="str">
            <v>NS5757</v>
          </cell>
          <cell r="B139">
            <v>5.4320000000000004</v>
          </cell>
        </row>
        <row r="140">
          <cell r="A140" t="str">
            <v>NS5758</v>
          </cell>
          <cell r="B140">
            <v>5.2598000000000003</v>
          </cell>
        </row>
        <row r="141">
          <cell r="A141" t="str">
            <v>NS5759</v>
          </cell>
          <cell r="B141">
            <v>5.0083000000000002</v>
          </cell>
        </row>
        <row r="142">
          <cell r="A142" t="str">
            <v>NS5760</v>
          </cell>
          <cell r="B142">
            <v>3.8660000000000001</v>
          </cell>
        </row>
        <row r="143">
          <cell r="A143" t="str">
            <v>NS5761</v>
          </cell>
          <cell r="B143">
            <v>4.9382000000000001</v>
          </cell>
        </row>
        <row r="144">
          <cell r="A144" t="str">
            <v>NS5762</v>
          </cell>
          <cell r="B144">
            <v>3.9592000000000001</v>
          </cell>
        </row>
        <row r="145">
          <cell r="A145" t="str">
            <v>NS5763</v>
          </cell>
          <cell r="B145">
            <v>5.0083000000000002</v>
          </cell>
        </row>
        <row r="146">
          <cell r="A146" t="str">
            <v>NS5764</v>
          </cell>
          <cell r="B146">
            <v>7.0011999999999999</v>
          </cell>
        </row>
        <row r="147">
          <cell r="A147" t="str">
            <v>NS5802</v>
          </cell>
          <cell r="B147">
            <v>11.166600000000001</v>
          </cell>
        </row>
        <row r="148">
          <cell r="A148" t="str">
            <v>NS5803</v>
          </cell>
          <cell r="B148">
            <v>15.2615</v>
          </cell>
        </row>
        <row r="149">
          <cell r="A149" t="str">
            <v>NS5805</v>
          </cell>
          <cell r="B149">
            <v>6.3529</v>
          </cell>
        </row>
        <row r="150">
          <cell r="A150" t="str">
            <v>NS5806</v>
          </cell>
          <cell r="B150">
            <v>4.2464000000000004</v>
          </cell>
        </row>
        <row r="151">
          <cell r="A151" t="str">
            <v>NS5807</v>
          </cell>
          <cell r="B151">
            <v>4.6325000000000003</v>
          </cell>
        </row>
        <row r="152">
          <cell r="A152" t="str">
            <v>NS5808</v>
          </cell>
          <cell r="B152">
            <v>5.7117000000000004</v>
          </cell>
        </row>
        <row r="153">
          <cell r="A153" t="str">
            <v>NS5809</v>
          </cell>
          <cell r="B153">
            <v>5.6182999999999996</v>
          </cell>
        </row>
        <row r="154">
          <cell r="A154" t="str">
            <v>NS5810</v>
          </cell>
          <cell r="B154">
            <v>7.1840999999999999</v>
          </cell>
        </row>
        <row r="155">
          <cell r="A155" t="str">
            <v>NS5811</v>
          </cell>
          <cell r="B155">
            <v>5.4781000000000004</v>
          </cell>
        </row>
        <row r="156">
          <cell r="A156" t="str">
            <v>NS5812</v>
          </cell>
          <cell r="B156">
            <v>5.7595000000000001</v>
          </cell>
        </row>
        <row r="157">
          <cell r="A157" t="str">
            <v>NS5813</v>
          </cell>
          <cell r="B157">
            <v>5.3731999999999998</v>
          </cell>
        </row>
        <row r="158">
          <cell r="A158" t="str">
            <v>NS5814</v>
          </cell>
          <cell r="B158">
            <v>4.1859999999999999</v>
          </cell>
        </row>
        <row r="159">
          <cell r="A159" t="str">
            <v>NS5815</v>
          </cell>
          <cell r="B159">
            <v>5.6738</v>
          </cell>
        </row>
        <row r="160">
          <cell r="A160" t="str">
            <v>NS5816</v>
          </cell>
          <cell r="B160">
            <v>10.759</v>
          </cell>
        </row>
        <row r="161">
          <cell r="A161" t="str">
            <v>NS5817</v>
          </cell>
          <cell r="B161">
            <v>8.7584999999999997</v>
          </cell>
        </row>
        <row r="162">
          <cell r="A162" t="str">
            <v>NS5818</v>
          </cell>
          <cell r="B162">
            <v>7.3224</v>
          </cell>
        </row>
        <row r="163">
          <cell r="A163" t="str">
            <v>NS5819</v>
          </cell>
          <cell r="B163">
            <v>5.4992999999999999</v>
          </cell>
        </row>
        <row r="164">
          <cell r="A164" t="str">
            <v>NS5820</v>
          </cell>
          <cell r="B164">
            <v>9.4727999999999994</v>
          </cell>
        </row>
        <row r="165">
          <cell r="A165" t="str">
            <v>NS5821</v>
          </cell>
          <cell r="B165">
            <v>7.0583</v>
          </cell>
        </row>
        <row r="166">
          <cell r="A166" t="str">
            <v>NS5822</v>
          </cell>
          <cell r="B166">
            <v>8.7406000000000006</v>
          </cell>
        </row>
        <row r="167">
          <cell r="A167" t="str">
            <v>NS5823</v>
          </cell>
          <cell r="B167">
            <v>6.8878000000000004</v>
          </cell>
        </row>
        <row r="168">
          <cell r="A168" t="str">
            <v>NS5824</v>
          </cell>
          <cell r="B168">
            <v>6.8878000000000004</v>
          </cell>
        </row>
        <row r="169">
          <cell r="A169" t="str">
            <v>NS5825</v>
          </cell>
          <cell r="B169">
            <v>6.9497</v>
          </cell>
        </row>
        <row r="170">
          <cell r="A170" t="str">
            <v>NS5826</v>
          </cell>
          <cell r="B170">
            <v>3.9506000000000001</v>
          </cell>
        </row>
        <row r="171">
          <cell r="A171" t="str">
            <v>NS5827</v>
          </cell>
          <cell r="B171">
            <v>7.2950999999999997</v>
          </cell>
        </row>
        <row r="172">
          <cell r="A172" t="str">
            <v>NS5828</v>
          </cell>
          <cell r="B172">
            <v>10.528700000000001</v>
          </cell>
        </row>
        <row r="173">
          <cell r="A173" t="str">
            <v>NS5829</v>
          </cell>
          <cell r="B173">
            <v>4.8102</v>
          </cell>
        </row>
        <row r="174">
          <cell r="A174" t="str">
            <v>NS5830</v>
          </cell>
          <cell r="B174">
            <v>4.1859999999999999</v>
          </cell>
        </row>
        <row r="175">
          <cell r="A175" t="str">
            <v>NS5831</v>
          </cell>
          <cell r="B175">
            <v>5.7264999999999997</v>
          </cell>
        </row>
        <row r="176">
          <cell r="A176" t="str">
            <v>NS5832</v>
          </cell>
          <cell r="B176">
            <v>4.3658999999999999</v>
          </cell>
        </row>
        <row r="177">
          <cell r="A177" t="str">
            <v>NS5833</v>
          </cell>
          <cell r="B177">
            <v>6.9389000000000003</v>
          </cell>
        </row>
        <row r="178">
          <cell r="A178" t="str">
            <v>NS5834</v>
          </cell>
          <cell r="B178">
            <v>5.4099000000000004</v>
          </cell>
        </row>
        <row r="179">
          <cell r="A179" t="str">
            <v>NS5835</v>
          </cell>
          <cell r="B179">
            <v>5.3089000000000004</v>
          </cell>
        </row>
        <row r="180">
          <cell r="A180" t="str">
            <v>NS5836</v>
          </cell>
          <cell r="B180">
            <v>5.3178000000000001</v>
          </cell>
        </row>
        <row r="181">
          <cell r="A181" t="str">
            <v>NS5837</v>
          </cell>
          <cell r="B181">
            <v>7.1173000000000002</v>
          </cell>
        </row>
        <row r="182">
          <cell r="A182" t="str">
            <v>NS5838</v>
          </cell>
          <cell r="B182">
            <v>8.8932000000000002</v>
          </cell>
        </row>
        <row r="183">
          <cell r="A183" t="str">
            <v>NS5839</v>
          </cell>
          <cell r="B183">
            <v>4.5578000000000003</v>
          </cell>
        </row>
        <row r="184">
          <cell r="A184" t="str">
            <v>NS5840</v>
          </cell>
          <cell r="B184">
            <v>5.2523</v>
          </cell>
        </row>
        <row r="185">
          <cell r="A185" t="str">
            <v>NS5841</v>
          </cell>
          <cell r="B185">
            <v>4.5444000000000004</v>
          </cell>
        </row>
        <row r="186">
          <cell r="A186" t="str">
            <v>NS5842</v>
          </cell>
          <cell r="B186">
            <v>4.3825000000000003</v>
          </cell>
        </row>
        <row r="187">
          <cell r="A187" t="str">
            <v>NS5843</v>
          </cell>
          <cell r="B187">
            <v>4.5590999999999999</v>
          </cell>
        </row>
        <row r="188">
          <cell r="A188" t="str">
            <v>NS5844</v>
          </cell>
          <cell r="B188">
            <v>5.7590000000000003</v>
          </cell>
        </row>
        <row r="189">
          <cell r="A189" t="str">
            <v>NS5845</v>
          </cell>
          <cell r="B189">
            <v>8.4673999999999996</v>
          </cell>
        </row>
        <row r="190">
          <cell r="A190" t="str">
            <v>NS5846</v>
          </cell>
          <cell r="B190">
            <v>9.1862999999999992</v>
          </cell>
        </row>
        <row r="191">
          <cell r="A191" t="str">
            <v>NS5847</v>
          </cell>
          <cell r="B191">
            <v>8.8327000000000009</v>
          </cell>
        </row>
        <row r="192">
          <cell r="A192" t="str">
            <v>NS5848</v>
          </cell>
          <cell r="B192">
            <v>9.1067999999999998</v>
          </cell>
        </row>
        <row r="193">
          <cell r="A193" t="str">
            <v>NS5849</v>
          </cell>
          <cell r="B193">
            <v>12.950100000000001</v>
          </cell>
        </row>
        <row r="194">
          <cell r="A194" t="str">
            <v>NS5850</v>
          </cell>
          <cell r="B194">
            <v>9.2406000000000006</v>
          </cell>
        </row>
        <row r="195">
          <cell r="A195" t="str">
            <v>NS5851</v>
          </cell>
          <cell r="B195">
            <v>9.0434000000000001</v>
          </cell>
        </row>
        <row r="196">
          <cell r="A196" t="str">
            <v>NS5852</v>
          </cell>
          <cell r="B196">
            <v>5.8471000000000002</v>
          </cell>
        </row>
        <row r="197">
          <cell r="A197" t="str">
            <v>NS5853</v>
          </cell>
          <cell r="B197">
            <v>8.6156000000000006</v>
          </cell>
        </row>
        <row r="198">
          <cell r="A198" t="str">
            <v>NS5854</v>
          </cell>
          <cell r="B198">
            <v>6.9680999999999997</v>
          </cell>
        </row>
        <row r="199">
          <cell r="A199" t="str">
            <v>NS5855</v>
          </cell>
          <cell r="B199">
            <v>5.9</v>
          </cell>
        </row>
        <row r="200">
          <cell r="A200" t="str">
            <v>NS5856</v>
          </cell>
          <cell r="B200">
            <v>4.6300999999999997</v>
          </cell>
        </row>
        <row r="201">
          <cell r="A201" t="str">
            <v>NS5857</v>
          </cell>
          <cell r="B201">
            <v>10.204499999999999</v>
          </cell>
        </row>
        <row r="202">
          <cell r="A202" t="str">
            <v>NS5858</v>
          </cell>
          <cell r="B202">
            <v>9.0326000000000004</v>
          </cell>
        </row>
        <row r="203">
          <cell r="A203" t="str">
            <v>NS5859</v>
          </cell>
          <cell r="B203">
            <v>5.3055000000000003</v>
          </cell>
        </row>
        <row r="204">
          <cell r="A204" t="str">
            <v>NS5860</v>
          </cell>
          <cell r="B204">
            <v>6.8611000000000004</v>
          </cell>
        </row>
        <row r="205">
          <cell r="A205" t="str">
            <v>NS5861</v>
          </cell>
          <cell r="B205">
            <v>7.0317999999999996</v>
          </cell>
        </row>
        <row r="206">
          <cell r="A206" t="str">
            <v>NS5862</v>
          </cell>
          <cell r="B206">
            <v>5.7515000000000001</v>
          </cell>
        </row>
        <row r="207">
          <cell r="A207" t="str">
            <v>NS5863</v>
          </cell>
          <cell r="B207">
            <v>7.1745999999999999</v>
          </cell>
        </row>
        <row r="208">
          <cell r="A208" t="str">
            <v>NS5864</v>
          </cell>
          <cell r="B208">
            <v>9.7005999999999997</v>
          </cell>
        </row>
        <row r="209">
          <cell r="A209" t="str">
            <v>NS5865</v>
          </cell>
          <cell r="B209">
            <v>7.3098999999999998</v>
          </cell>
        </row>
        <row r="210">
          <cell r="A210" t="str">
            <v>NS5866</v>
          </cell>
          <cell r="B210">
            <v>4.8091999999999997</v>
          </cell>
        </row>
        <row r="211">
          <cell r="A211" t="str">
            <v>NS5867</v>
          </cell>
          <cell r="B211">
            <v>4.9124999999999996</v>
          </cell>
        </row>
        <row r="212">
          <cell r="A212" t="str">
            <v>NS5868</v>
          </cell>
          <cell r="B212">
            <v>9.0813000000000006</v>
          </cell>
        </row>
        <row r="213">
          <cell r="A213" t="str">
            <v>NS5869</v>
          </cell>
          <cell r="B213">
            <v>6.2249999999999996</v>
          </cell>
        </row>
        <row r="214">
          <cell r="A214" t="str">
            <v>NS5870</v>
          </cell>
          <cell r="B214">
            <v>5.8654000000000002</v>
          </cell>
        </row>
        <row r="215">
          <cell r="A215" t="str">
            <v>NS5871</v>
          </cell>
          <cell r="B215">
            <v>5.9191000000000003</v>
          </cell>
        </row>
        <row r="216">
          <cell r="A216" t="str">
            <v>NS5872</v>
          </cell>
          <cell r="B216">
            <v>4.6858000000000004</v>
          </cell>
        </row>
        <row r="217">
          <cell r="A217" t="str">
            <v>NS5873</v>
          </cell>
          <cell r="B217">
            <v>5.4527000000000001</v>
          </cell>
        </row>
        <row r="218">
          <cell r="A218" t="str">
            <v>NW3001</v>
          </cell>
          <cell r="B218">
            <v>14.547800000000001</v>
          </cell>
        </row>
        <row r="219">
          <cell r="A219" t="str">
            <v>NW3002</v>
          </cell>
          <cell r="B219">
            <v>11.035</v>
          </cell>
        </row>
        <row r="220">
          <cell r="A220" t="str">
            <v>NW3003</v>
          </cell>
          <cell r="B220">
            <v>8.7798999999999996</v>
          </cell>
        </row>
        <row r="221">
          <cell r="A221" t="str">
            <v>NW3004</v>
          </cell>
          <cell r="B221">
            <v>18.971</v>
          </cell>
        </row>
        <row r="222">
          <cell r="A222" t="str">
            <v>NW3005</v>
          </cell>
          <cell r="B222">
            <v>3.8582999999999998</v>
          </cell>
        </row>
        <row r="223">
          <cell r="A223" t="str">
            <v>NW3100</v>
          </cell>
          <cell r="B223">
            <v>17.7653</v>
          </cell>
        </row>
        <row r="224">
          <cell r="A224" t="str">
            <v>NW3101</v>
          </cell>
          <cell r="B224">
            <v>12.2659</v>
          </cell>
        </row>
        <row r="225">
          <cell r="A225" t="str">
            <v>NW3102</v>
          </cell>
          <cell r="B225">
            <v>11.0886</v>
          </cell>
        </row>
        <row r="226">
          <cell r="A226" t="str">
            <v>NW3103</v>
          </cell>
          <cell r="B226">
            <v>15.3969</v>
          </cell>
        </row>
        <row r="227">
          <cell r="A227" t="str">
            <v>NW3104</v>
          </cell>
          <cell r="B227">
            <v>9.1157000000000004</v>
          </cell>
        </row>
        <row r="228">
          <cell r="A228" t="str">
            <v>NW3105</v>
          </cell>
          <cell r="B228">
            <v>15.421799999999999</v>
          </cell>
        </row>
        <row r="229">
          <cell r="A229" t="str">
            <v>NW3105.S001</v>
          </cell>
          <cell r="B229">
            <v>8.7994000000000003</v>
          </cell>
        </row>
        <row r="230">
          <cell r="A230" t="str">
            <v>NW3105.S002</v>
          </cell>
          <cell r="B230">
            <v>8.7994000000000003</v>
          </cell>
        </row>
        <row r="231">
          <cell r="A231" t="str">
            <v>NW3106</v>
          </cell>
          <cell r="B231">
            <v>6.9969999999999999</v>
          </cell>
        </row>
        <row r="232">
          <cell r="A232" t="str">
            <v>NW3106.S001</v>
          </cell>
          <cell r="B232">
            <v>7.5650000000000004</v>
          </cell>
        </row>
        <row r="233">
          <cell r="A233" t="str">
            <v>NW3107</v>
          </cell>
          <cell r="B233">
            <v>21.508700000000001</v>
          </cell>
        </row>
        <row r="234">
          <cell r="A234" t="str">
            <v>NW3108</v>
          </cell>
          <cell r="B234">
            <v>20.632899999999999</v>
          </cell>
        </row>
        <row r="235">
          <cell r="A235" t="str">
            <v>NW3108.S001</v>
          </cell>
          <cell r="B235">
            <v>10.155900000000001</v>
          </cell>
        </row>
        <row r="236">
          <cell r="A236" t="str">
            <v>NW3109</v>
          </cell>
          <cell r="B236">
            <v>11.8589</v>
          </cell>
        </row>
        <row r="237">
          <cell r="A237" t="str">
            <v>NW3109.S001</v>
          </cell>
          <cell r="B237">
            <v>6.0651999999999999</v>
          </cell>
        </row>
        <row r="238">
          <cell r="A238" t="str">
            <v>NW3110</v>
          </cell>
          <cell r="B238">
            <v>10.974600000000001</v>
          </cell>
        </row>
        <row r="239">
          <cell r="A239" t="str">
            <v>NW3110.S001</v>
          </cell>
          <cell r="B239">
            <v>5.4824000000000002</v>
          </cell>
        </row>
        <row r="240">
          <cell r="A240" t="str">
            <v>NW3110.S002</v>
          </cell>
          <cell r="B240">
            <v>5.5476000000000001</v>
          </cell>
        </row>
        <row r="241">
          <cell r="A241" t="str">
            <v>NW3110.S003</v>
          </cell>
          <cell r="B241">
            <v>5.4436999999999998</v>
          </cell>
        </row>
        <row r="242">
          <cell r="A242" t="str">
            <v>NW3111</v>
          </cell>
          <cell r="B242">
            <v>7.5279999999999996</v>
          </cell>
        </row>
        <row r="243">
          <cell r="A243" t="str">
            <v>NW3112</v>
          </cell>
          <cell r="B243">
            <v>10.6258</v>
          </cell>
        </row>
        <row r="244">
          <cell r="A244" t="str">
            <v>NW3113</v>
          </cell>
          <cell r="B244">
            <v>12.5075</v>
          </cell>
        </row>
        <row r="245">
          <cell r="A245" t="str">
            <v>NW3114</v>
          </cell>
          <cell r="B245">
            <v>11.1472</v>
          </cell>
        </row>
        <row r="246">
          <cell r="A246" t="str">
            <v>NW3115</v>
          </cell>
          <cell r="B246">
            <v>13.6967</v>
          </cell>
        </row>
        <row r="247">
          <cell r="A247" t="str">
            <v>NW3116</v>
          </cell>
          <cell r="B247">
            <v>10.402799999999999</v>
          </cell>
        </row>
        <row r="248">
          <cell r="A248" t="str">
            <v>NW3117</v>
          </cell>
          <cell r="B248">
            <v>15.7845</v>
          </cell>
        </row>
        <row r="249">
          <cell r="A249" t="str">
            <v>NW3118</v>
          </cell>
          <cell r="B249">
            <v>11.6717</v>
          </cell>
        </row>
        <row r="250">
          <cell r="A250" t="str">
            <v>NW3119</v>
          </cell>
          <cell r="B250">
            <v>14.138</v>
          </cell>
        </row>
        <row r="251">
          <cell r="A251" t="str">
            <v>NW3120</v>
          </cell>
          <cell r="B251">
            <v>12.513400000000001</v>
          </cell>
        </row>
        <row r="252">
          <cell r="A252" t="str">
            <v>NW3121</v>
          </cell>
          <cell r="B252">
            <v>8.6632999999999996</v>
          </cell>
        </row>
        <row r="253">
          <cell r="A253" t="str">
            <v>NW3122</v>
          </cell>
          <cell r="B253">
            <v>16.211600000000001</v>
          </cell>
        </row>
        <row r="254">
          <cell r="A254" t="str">
            <v>NW3124</v>
          </cell>
          <cell r="B254">
            <v>12.432399999999999</v>
          </cell>
        </row>
        <row r="255">
          <cell r="A255" t="str">
            <v>NW3125</v>
          </cell>
          <cell r="B255">
            <v>16.017900000000001</v>
          </cell>
        </row>
        <row r="256">
          <cell r="A256" t="str">
            <v>NW3126</v>
          </cell>
          <cell r="B256">
            <v>14.775499999999999</v>
          </cell>
        </row>
        <row r="257">
          <cell r="A257" t="str">
            <v>NW3127</v>
          </cell>
          <cell r="B257">
            <v>9.2729999999999997</v>
          </cell>
        </row>
        <row r="258">
          <cell r="A258" t="str">
            <v>NW3128</v>
          </cell>
          <cell r="B258">
            <v>12.557</v>
          </cell>
        </row>
        <row r="259">
          <cell r="A259" t="str">
            <v>NW3128.S001</v>
          </cell>
          <cell r="B259">
            <v>10.1241</v>
          </cell>
        </row>
        <row r="260">
          <cell r="A260" t="str">
            <v>NW3128.S002</v>
          </cell>
          <cell r="B260">
            <v>10.1241</v>
          </cell>
        </row>
        <row r="261">
          <cell r="A261" t="str">
            <v>NW3129</v>
          </cell>
          <cell r="B261">
            <v>12.597300000000001</v>
          </cell>
        </row>
        <row r="262">
          <cell r="A262" t="str">
            <v>NW3800</v>
          </cell>
          <cell r="B262">
            <v>9.3683999999999994</v>
          </cell>
        </row>
        <row r="263">
          <cell r="A263" t="str">
            <v>NW3801</v>
          </cell>
          <cell r="B263">
            <v>5.3760000000000003</v>
          </cell>
        </row>
        <row r="264">
          <cell r="A264" t="str">
            <v>NW3802</v>
          </cell>
          <cell r="B264">
            <v>5.3871000000000002</v>
          </cell>
        </row>
        <row r="265">
          <cell r="A265" t="str">
            <v>NW3803</v>
          </cell>
          <cell r="B265">
            <v>5.6104000000000003</v>
          </cell>
        </row>
        <row r="266">
          <cell r="A266" t="str">
            <v>NW3804</v>
          </cell>
          <cell r="B266">
            <v>4.1060999999999996</v>
          </cell>
        </row>
        <row r="267">
          <cell r="A267" t="str">
            <v>NW3805</v>
          </cell>
          <cell r="B267">
            <v>4.8912000000000004</v>
          </cell>
        </row>
        <row r="268">
          <cell r="A268" t="str">
            <v>NW3806</v>
          </cell>
          <cell r="B268">
            <v>10.4123</v>
          </cell>
        </row>
        <row r="269">
          <cell r="A269" t="str">
            <v>NW3807</v>
          </cell>
          <cell r="B269">
            <v>5.7198000000000002</v>
          </cell>
        </row>
        <row r="270">
          <cell r="A270" t="str">
            <v>NW3808</v>
          </cell>
          <cell r="B270">
            <v>5.5010000000000003</v>
          </cell>
        </row>
        <row r="271">
          <cell r="A271" t="str">
            <v>NW3809</v>
          </cell>
          <cell r="B271">
            <v>5.4851000000000001</v>
          </cell>
        </row>
        <row r="272">
          <cell r="A272" t="str">
            <v>NW3810</v>
          </cell>
          <cell r="B272">
            <v>5.4983000000000004</v>
          </cell>
        </row>
        <row r="273">
          <cell r="A273" t="str">
            <v>NW3811</v>
          </cell>
          <cell r="B273">
            <v>5.1059999999999999</v>
          </cell>
        </row>
        <row r="274">
          <cell r="A274" t="str">
            <v>NW3812</v>
          </cell>
          <cell r="B274">
            <v>5.4358000000000004</v>
          </cell>
        </row>
        <row r="275">
          <cell r="A275" t="str">
            <v>NW3813</v>
          </cell>
          <cell r="B275">
            <v>5.4301000000000004</v>
          </cell>
        </row>
        <row r="276">
          <cell r="A276" t="str">
            <v>NW3814</v>
          </cell>
          <cell r="B276">
            <v>5.6555</v>
          </cell>
        </row>
        <row r="277">
          <cell r="A277" t="str">
            <v>NW3815</v>
          </cell>
          <cell r="B277">
            <v>5.6422999999999996</v>
          </cell>
        </row>
        <row r="278">
          <cell r="A278" t="str">
            <v>NW3816</v>
          </cell>
          <cell r="B278">
            <v>4.8826000000000001</v>
          </cell>
        </row>
        <row r="279">
          <cell r="A279" t="str">
            <v>NW3817</v>
          </cell>
          <cell r="B279">
            <v>6.8868999999999998</v>
          </cell>
        </row>
        <row r="280">
          <cell r="A280" t="str">
            <v>NW3818</v>
          </cell>
          <cell r="B280">
            <v>6.4699</v>
          </cell>
        </row>
        <row r="281">
          <cell r="A281" t="str">
            <v>NW3819</v>
          </cell>
          <cell r="B281">
            <v>6.5110000000000001</v>
          </cell>
        </row>
        <row r="282">
          <cell r="A282" t="str">
            <v>NW3820</v>
          </cell>
          <cell r="B282">
            <v>5.7971000000000004</v>
          </cell>
        </row>
        <row r="283">
          <cell r="A283" t="str">
            <v>NW3821</v>
          </cell>
          <cell r="B283">
            <v>5.1048999999999998</v>
          </cell>
        </row>
        <row r="284">
          <cell r="A284" t="str">
            <v>NW3822</v>
          </cell>
          <cell r="B284">
            <v>5.5738000000000003</v>
          </cell>
        </row>
        <row r="285">
          <cell r="A285" t="str">
            <v>NW3823</v>
          </cell>
          <cell r="B285">
            <v>5.1344000000000003</v>
          </cell>
        </row>
        <row r="286">
          <cell r="A286" t="str">
            <v>NW3824</v>
          </cell>
          <cell r="B286">
            <v>4.6025</v>
          </cell>
        </row>
        <row r="287">
          <cell r="A287" t="str">
            <v>NW3825</v>
          </cell>
          <cell r="B287">
            <v>5.5674999999999999</v>
          </cell>
        </row>
        <row r="288">
          <cell r="A288" t="str">
            <v>NW3826</v>
          </cell>
          <cell r="B288">
            <v>5.8571</v>
          </cell>
        </row>
        <row r="289">
          <cell r="A289" t="str">
            <v>NW3827</v>
          </cell>
          <cell r="B289">
            <v>5.8437999999999999</v>
          </cell>
        </row>
        <row r="290">
          <cell r="A290" t="str">
            <v>NW3828</v>
          </cell>
          <cell r="B290">
            <v>5.4991000000000003</v>
          </cell>
        </row>
        <row r="291">
          <cell r="A291" t="str">
            <v>NW3829</v>
          </cell>
          <cell r="B291">
            <v>5.6104000000000003</v>
          </cell>
        </row>
        <row r="292">
          <cell r="A292" t="str">
            <v>NW3830</v>
          </cell>
          <cell r="B292">
            <v>5.9661999999999997</v>
          </cell>
        </row>
        <row r="293">
          <cell r="A293" t="str">
            <v>NW3831</v>
          </cell>
          <cell r="B293">
            <v>5.6071</v>
          </cell>
        </row>
        <row r="294">
          <cell r="A294" t="str">
            <v>NW3832</v>
          </cell>
          <cell r="B294">
            <v>5.6071</v>
          </cell>
        </row>
        <row r="295">
          <cell r="A295" t="str">
            <v>NW3833</v>
          </cell>
          <cell r="B295">
            <v>5.3760000000000003</v>
          </cell>
        </row>
        <row r="296">
          <cell r="A296" t="str">
            <v>NW3834</v>
          </cell>
          <cell r="B296">
            <v>5.0720000000000001</v>
          </cell>
        </row>
        <row r="297">
          <cell r="A297" t="str">
            <v>NW3835</v>
          </cell>
          <cell r="B297">
            <v>5.3701999999999996</v>
          </cell>
        </row>
        <row r="298">
          <cell r="A298" t="str">
            <v>NW3836</v>
          </cell>
          <cell r="B298">
            <v>5.3701999999999996</v>
          </cell>
        </row>
        <row r="299">
          <cell r="A299" t="str">
            <v>NW3837</v>
          </cell>
          <cell r="B299">
            <v>5.4778000000000002</v>
          </cell>
        </row>
        <row r="300">
          <cell r="A300" t="str">
            <v>NW3838</v>
          </cell>
          <cell r="B300">
            <v>5.7287999999999997</v>
          </cell>
        </row>
        <row r="301">
          <cell r="A301" t="str">
            <v>NW3839</v>
          </cell>
          <cell r="B301">
            <v>5.3760000000000003</v>
          </cell>
        </row>
        <row r="302">
          <cell r="A302" t="str">
            <v>NW3840</v>
          </cell>
          <cell r="B302">
            <v>9.4079999999999995</v>
          </cell>
        </row>
        <row r="303">
          <cell r="A303" t="str">
            <v>NW3841</v>
          </cell>
          <cell r="B303">
            <v>5.5763999999999996</v>
          </cell>
        </row>
        <row r="304">
          <cell r="A304" t="str">
            <v>NW3842</v>
          </cell>
          <cell r="B304">
            <v>5.5885999999999996</v>
          </cell>
        </row>
        <row r="305">
          <cell r="A305" t="str">
            <v>NW3843</v>
          </cell>
          <cell r="B305">
            <v>5.4619</v>
          </cell>
        </row>
        <row r="306">
          <cell r="A306" t="str">
            <v>NW3844</v>
          </cell>
          <cell r="B306">
            <v>5.6250999999999998</v>
          </cell>
        </row>
        <row r="307">
          <cell r="A307" t="str">
            <v>NW3845</v>
          </cell>
          <cell r="B307">
            <v>7.5998999999999999</v>
          </cell>
        </row>
        <row r="308">
          <cell r="A308" t="str">
            <v>NW3846</v>
          </cell>
          <cell r="B308">
            <v>7.7561999999999998</v>
          </cell>
        </row>
        <row r="309">
          <cell r="A309" t="str">
            <v>NW3847</v>
          </cell>
          <cell r="B309">
            <v>5.6120999999999999</v>
          </cell>
        </row>
        <row r="310">
          <cell r="A310" t="str">
            <v>OGA000</v>
          </cell>
          <cell r="B310">
            <v>27.232099999999999</v>
          </cell>
        </row>
        <row r="311">
          <cell r="A311" t="str">
            <v>OGA077</v>
          </cell>
          <cell r="B311">
            <v>18.495200000000001</v>
          </cell>
        </row>
        <row r="312">
          <cell r="A312" t="str">
            <v>OGA080</v>
          </cell>
          <cell r="B312">
            <v>11.2164</v>
          </cell>
        </row>
        <row r="313">
          <cell r="A313" t="str">
            <v>OGA097</v>
          </cell>
          <cell r="B313">
            <v>20.763300000000001</v>
          </cell>
        </row>
        <row r="314">
          <cell r="A314" t="str">
            <v>OGA115</v>
          </cell>
          <cell r="B314">
            <v>12.032999999999999</v>
          </cell>
        </row>
        <row r="315">
          <cell r="A315" t="str">
            <v>OGA116</v>
          </cell>
          <cell r="B315">
            <v>12.007400000000001</v>
          </cell>
        </row>
        <row r="316">
          <cell r="A316" t="str">
            <v>OGA145</v>
          </cell>
          <cell r="B316">
            <v>11.632300000000001</v>
          </cell>
        </row>
        <row r="317">
          <cell r="A317" t="str">
            <v>OGA161</v>
          </cell>
          <cell r="B317">
            <v>22.066099999999999</v>
          </cell>
        </row>
        <row r="318">
          <cell r="A318" t="str">
            <v>OGZ036</v>
          </cell>
          <cell r="B318">
            <v>23.1325</v>
          </cell>
        </row>
        <row r="319">
          <cell r="A319" t="str">
            <v>OGZ036.L001</v>
          </cell>
          <cell r="B319">
            <v>9.1194000000000006</v>
          </cell>
        </row>
        <row r="320">
          <cell r="A320" t="str">
            <v>OGZ038</v>
          </cell>
          <cell r="B320">
            <v>5.6765999999999996</v>
          </cell>
        </row>
        <row r="321">
          <cell r="A321" t="str">
            <v>OGZ050E</v>
          </cell>
          <cell r="B321">
            <v>24.917100000000001</v>
          </cell>
        </row>
        <row r="322">
          <cell r="A322" t="str">
            <v>OGZ050W</v>
          </cell>
          <cell r="B322">
            <v>15.7043</v>
          </cell>
        </row>
        <row r="323">
          <cell r="A323" t="str">
            <v>OGZ051</v>
          </cell>
          <cell r="B323">
            <v>17.319199999999999</v>
          </cell>
        </row>
        <row r="324">
          <cell r="A324" t="str">
            <v>OGZ167M</v>
          </cell>
          <cell r="B324">
            <v>20.229199999999999</v>
          </cell>
        </row>
        <row r="325">
          <cell r="A325" t="str">
            <v>OGZ167N</v>
          </cell>
          <cell r="B325">
            <v>14.0716</v>
          </cell>
        </row>
        <row r="326">
          <cell r="A326" t="str">
            <v>OGZ167S</v>
          </cell>
          <cell r="B326">
            <v>22.5245</v>
          </cell>
        </row>
        <row r="327">
          <cell r="A327" t="str">
            <v>OGZ171</v>
          </cell>
          <cell r="B327">
            <v>11.655200000000001</v>
          </cell>
        </row>
        <row r="328">
          <cell r="A328" t="str">
            <v>OGZ270</v>
          </cell>
          <cell r="B328">
            <v>21.444900000000001</v>
          </cell>
        </row>
        <row r="329">
          <cell r="A329" t="str">
            <v>OGZ550W</v>
          </cell>
          <cell r="B329">
            <v>5.5640000000000001</v>
          </cell>
        </row>
        <row r="330">
          <cell r="A330" t="str">
            <v>SW6001</v>
          </cell>
          <cell r="B330">
            <v>11.5862</v>
          </cell>
        </row>
        <row r="331">
          <cell r="A331" t="str">
            <v>SW6002</v>
          </cell>
          <cell r="B331">
            <v>9.7194000000000003</v>
          </cell>
        </row>
        <row r="332">
          <cell r="A332" t="str">
            <v>SW6003</v>
          </cell>
          <cell r="B332">
            <v>8.0154999999999994</v>
          </cell>
        </row>
        <row r="333">
          <cell r="A333" t="str">
            <v>SW6004</v>
          </cell>
          <cell r="B333">
            <v>15.5855</v>
          </cell>
        </row>
        <row r="334">
          <cell r="A334" t="str">
            <v>SW6005</v>
          </cell>
          <cell r="B334">
            <v>11.3933</v>
          </cell>
        </row>
        <row r="335">
          <cell r="A335" t="str">
            <v>SW6006</v>
          </cell>
          <cell r="B335">
            <v>7.5514000000000001</v>
          </cell>
        </row>
        <row r="336">
          <cell r="A336" t="str">
            <v>SW6007</v>
          </cell>
          <cell r="B336">
            <v>19.547899999999998</v>
          </cell>
        </row>
        <row r="337">
          <cell r="A337" t="str">
            <v>SW6069</v>
          </cell>
          <cell r="B337">
            <v>23.1084</v>
          </cell>
        </row>
        <row r="338">
          <cell r="A338" t="str">
            <v>SW6070</v>
          </cell>
          <cell r="B338">
            <v>19.0838</v>
          </cell>
        </row>
        <row r="339">
          <cell r="A339" t="str">
            <v>SW6071</v>
          </cell>
          <cell r="B339">
            <v>15.4756</v>
          </cell>
        </row>
        <row r="340">
          <cell r="A340" t="str">
            <v>SW6072</v>
          </cell>
          <cell r="B340">
            <v>19.582799999999999</v>
          </cell>
        </row>
        <row r="341">
          <cell r="A341" t="str">
            <v>SW6073</v>
          </cell>
          <cell r="B341">
            <v>7.6700999999999997</v>
          </cell>
        </row>
        <row r="342">
          <cell r="A342" t="str">
            <v>SW6074</v>
          </cell>
          <cell r="B342">
            <v>6.3803000000000001</v>
          </cell>
        </row>
        <row r="343">
          <cell r="A343" t="str">
            <v>SW6075</v>
          </cell>
          <cell r="B343">
            <v>20.893000000000001</v>
          </cell>
        </row>
        <row r="344">
          <cell r="A344" t="str">
            <v>SW6076</v>
          </cell>
          <cell r="B344">
            <v>23.6724</v>
          </cell>
        </row>
        <row r="345">
          <cell r="A345" t="str">
            <v>SW6077</v>
          </cell>
          <cell r="B345">
            <v>9.4253999999999998</v>
          </cell>
        </row>
        <row r="346">
          <cell r="A346" t="str">
            <v>SW6078</v>
          </cell>
          <cell r="B346">
            <v>15.4138</v>
          </cell>
        </row>
        <row r="347">
          <cell r="A347" t="str">
            <v>SW6079</v>
          </cell>
          <cell r="B347">
            <v>11.318300000000001</v>
          </cell>
        </row>
        <row r="348">
          <cell r="A348" t="str">
            <v>SW6121</v>
          </cell>
          <cell r="B348">
            <v>12.4819</v>
          </cell>
        </row>
        <row r="349">
          <cell r="A349" t="str">
            <v>SW6122</v>
          </cell>
          <cell r="B349">
            <v>8.4036000000000008</v>
          </cell>
        </row>
        <row r="350">
          <cell r="A350" t="str">
            <v>SW6123</v>
          </cell>
          <cell r="B350">
            <v>6.7575000000000003</v>
          </cell>
        </row>
        <row r="351">
          <cell r="A351" t="str">
            <v>SW6124</v>
          </cell>
          <cell r="B351">
            <v>7.3970000000000002</v>
          </cell>
        </row>
        <row r="352">
          <cell r="A352" t="str">
            <v>SW6155</v>
          </cell>
          <cell r="B352">
            <v>19.085599999999999</v>
          </cell>
        </row>
        <row r="353">
          <cell r="A353" t="str">
            <v>SW6156</v>
          </cell>
          <cell r="B353">
            <v>7.9036999999999997</v>
          </cell>
        </row>
        <row r="354">
          <cell r="A354" t="str">
            <v>SW6157</v>
          </cell>
          <cell r="B354">
            <v>14.1076</v>
          </cell>
        </row>
        <row r="355">
          <cell r="A355" t="str">
            <v>SW6158</v>
          </cell>
          <cell r="B355">
            <v>8.8500999999999994</v>
          </cell>
        </row>
        <row r="356">
          <cell r="A356" t="str">
            <v>SW6700</v>
          </cell>
          <cell r="B356">
            <v>6.9283000000000001</v>
          </cell>
        </row>
        <row r="357">
          <cell r="A357" t="str">
            <v>SW6701</v>
          </cell>
          <cell r="B357">
            <v>5.5411000000000001</v>
          </cell>
        </row>
        <row r="358">
          <cell r="A358" t="str">
            <v>SW6702</v>
          </cell>
          <cell r="B358">
            <v>5.2184999999999997</v>
          </cell>
        </row>
        <row r="359">
          <cell r="A359" t="str">
            <v>SW6703</v>
          </cell>
          <cell r="B359">
            <v>5.1750999999999996</v>
          </cell>
        </row>
        <row r="360">
          <cell r="A360" t="str">
            <v>SW6704</v>
          </cell>
          <cell r="B360">
            <v>4.0724999999999998</v>
          </cell>
        </row>
        <row r="361">
          <cell r="A361" t="str">
            <v>SW6705</v>
          </cell>
          <cell r="B361">
            <v>3.9765000000000001</v>
          </cell>
        </row>
        <row r="362">
          <cell r="A362" t="str">
            <v>SW6706</v>
          </cell>
          <cell r="B362">
            <v>5.548</v>
          </cell>
        </row>
        <row r="363">
          <cell r="A363" t="str">
            <v>SW6707</v>
          </cell>
          <cell r="B363">
            <v>4.2466999999999997</v>
          </cell>
        </row>
        <row r="364">
          <cell r="A364" t="str">
            <v>SW6708</v>
          </cell>
          <cell r="B364">
            <v>3.9971999999999999</v>
          </cell>
        </row>
        <row r="365">
          <cell r="A365" t="str">
            <v>SW6709</v>
          </cell>
          <cell r="B365">
            <v>5.8174999999999999</v>
          </cell>
        </row>
        <row r="366">
          <cell r="A366" t="str">
            <v>SW6710</v>
          </cell>
          <cell r="B366">
            <v>5.3712999999999997</v>
          </cell>
        </row>
        <row r="367">
          <cell r="A367" t="str">
            <v>SW6711</v>
          </cell>
          <cell r="B367">
            <v>4.4889999999999999</v>
          </cell>
        </row>
        <row r="368">
          <cell r="A368" t="str">
            <v>SW6712</v>
          </cell>
          <cell r="B368">
            <v>4.5654000000000003</v>
          </cell>
        </row>
        <row r="369">
          <cell r="A369" t="str">
            <v>SW6713</v>
          </cell>
          <cell r="B369">
            <v>4.5654000000000003</v>
          </cell>
        </row>
        <row r="370">
          <cell r="A370" t="str">
            <v>SW6714</v>
          </cell>
          <cell r="B370">
            <v>5.758</v>
          </cell>
        </row>
        <row r="371">
          <cell r="A371" t="str">
            <v>SW6715</v>
          </cell>
          <cell r="B371">
            <v>5.758</v>
          </cell>
        </row>
        <row r="372">
          <cell r="A372" t="str">
            <v>SW6716</v>
          </cell>
          <cell r="B372">
            <v>5.4322999999999997</v>
          </cell>
        </row>
        <row r="373">
          <cell r="A373" t="str">
            <v>SW6717</v>
          </cell>
          <cell r="B373">
            <v>3.7713000000000001</v>
          </cell>
        </row>
        <row r="374">
          <cell r="A374" t="str">
            <v>SW6718</v>
          </cell>
          <cell r="B374">
            <v>5.3760000000000003</v>
          </cell>
        </row>
        <row r="375">
          <cell r="A375" t="str">
            <v>SW6719</v>
          </cell>
          <cell r="B375">
            <v>5.1352000000000002</v>
          </cell>
        </row>
        <row r="376">
          <cell r="A376" t="str">
            <v>SW6720</v>
          </cell>
          <cell r="B376">
            <v>4.6463999999999999</v>
          </cell>
        </row>
        <row r="377">
          <cell r="A377" t="str">
            <v>SW6721</v>
          </cell>
          <cell r="B377">
            <v>4.3297999999999996</v>
          </cell>
        </row>
        <row r="378">
          <cell r="A378" t="str">
            <v>SW6722</v>
          </cell>
          <cell r="B378">
            <v>4.3297999999999996</v>
          </cell>
        </row>
        <row r="379">
          <cell r="A379" t="str">
            <v>SW6723</v>
          </cell>
          <cell r="B379">
            <v>5.6219000000000001</v>
          </cell>
        </row>
        <row r="380">
          <cell r="A380" t="str">
            <v>SW6725</v>
          </cell>
          <cell r="B380">
            <v>5.5651999999999999</v>
          </cell>
        </row>
        <row r="381">
          <cell r="A381" t="str">
            <v>SW6726</v>
          </cell>
          <cell r="B381">
            <v>5.5110999999999999</v>
          </cell>
        </row>
        <row r="382">
          <cell r="A382" t="str">
            <v>SW6727</v>
          </cell>
          <cell r="B382">
            <v>5.2652000000000001</v>
          </cell>
        </row>
        <row r="383">
          <cell r="A383" t="str">
            <v>SW6728</v>
          </cell>
          <cell r="B383">
            <v>4.4200999999999997</v>
          </cell>
        </row>
        <row r="384">
          <cell r="A384" t="str">
            <v>SW6729</v>
          </cell>
          <cell r="B384">
            <v>5.4772999999999996</v>
          </cell>
        </row>
        <row r="385">
          <cell r="A385" t="str">
            <v>SW6730</v>
          </cell>
          <cell r="B385">
            <v>5.4772999999999996</v>
          </cell>
        </row>
        <row r="386">
          <cell r="A386" t="str">
            <v>SW6731</v>
          </cell>
          <cell r="B386">
            <v>5.4772999999999996</v>
          </cell>
        </row>
        <row r="387">
          <cell r="A387" t="str">
            <v>SW6732</v>
          </cell>
          <cell r="B387">
            <v>5.4772999999999996</v>
          </cell>
        </row>
        <row r="388">
          <cell r="A388" t="str">
            <v>SW6733</v>
          </cell>
          <cell r="B388">
            <v>5.4772999999999996</v>
          </cell>
        </row>
        <row r="389">
          <cell r="A389" t="str">
            <v>SW6800</v>
          </cell>
          <cell r="B389">
            <v>9.8048000000000002</v>
          </cell>
        </row>
        <row r="390">
          <cell r="A390" t="str">
            <v>SW6801</v>
          </cell>
          <cell r="B390">
            <v>6.0118</v>
          </cell>
        </row>
        <row r="391">
          <cell r="A391" t="str">
            <v>SW6802</v>
          </cell>
          <cell r="B391">
            <v>6.2137000000000002</v>
          </cell>
        </row>
        <row r="392">
          <cell r="A392" t="str">
            <v>SW6803</v>
          </cell>
          <cell r="B392">
            <v>5.9503000000000004</v>
          </cell>
        </row>
        <row r="393">
          <cell r="A393" t="str">
            <v>SW6804</v>
          </cell>
          <cell r="B393">
            <v>5.9542999999999999</v>
          </cell>
        </row>
        <row r="394">
          <cell r="A394" t="str">
            <v>SW6805</v>
          </cell>
          <cell r="B394">
            <v>5.9503000000000004</v>
          </cell>
        </row>
        <row r="395">
          <cell r="A395" t="str">
            <v>SW6806</v>
          </cell>
          <cell r="B395">
            <v>5.8135000000000003</v>
          </cell>
        </row>
        <row r="396">
          <cell r="A396" t="str">
            <v>SW6807</v>
          </cell>
          <cell r="B396">
            <v>5.9489999999999998</v>
          </cell>
        </row>
        <row r="397">
          <cell r="A397" t="str">
            <v>SW6808</v>
          </cell>
          <cell r="B397">
            <v>6.1920000000000002</v>
          </cell>
        </row>
        <row r="398">
          <cell r="A398" t="str">
            <v>SW6809</v>
          </cell>
          <cell r="B398">
            <v>5.9337</v>
          </cell>
        </row>
        <row r="399">
          <cell r="A399" t="str">
            <v>SW6810</v>
          </cell>
          <cell r="B399">
            <v>9.7894000000000005</v>
          </cell>
        </row>
        <row r="400">
          <cell r="A400" t="str">
            <v>SW6811</v>
          </cell>
          <cell r="B400">
            <v>6.0533999999999999</v>
          </cell>
        </row>
        <row r="401">
          <cell r="A401" t="str">
            <v>SW6812</v>
          </cell>
          <cell r="B401">
            <v>5.9337</v>
          </cell>
        </row>
        <row r="402">
          <cell r="A402" t="str">
            <v>SW6813</v>
          </cell>
          <cell r="B402">
            <v>5.9348999999999998</v>
          </cell>
        </row>
        <row r="403">
          <cell r="A403" t="str">
            <v>SW6814</v>
          </cell>
          <cell r="B403">
            <v>6.0312000000000001</v>
          </cell>
        </row>
        <row r="404">
          <cell r="A404" t="str">
            <v>SW6815</v>
          </cell>
          <cell r="B404">
            <v>6.0533999999999999</v>
          </cell>
        </row>
        <row r="405">
          <cell r="A405" t="str">
            <v>SW6816</v>
          </cell>
          <cell r="B405">
            <v>5.8219000000000003</v>
          </cell>
        </row>
        <row r="406">
          <cell r="A406" t="str">
            <v>SW6817</v>
          </cell>
          <cell r="B406">
            <v>6.0956000000000001</v>
          </cell>
        </row>
        <row r="407">
          <cell r="A407" t="str">
            <v>SW6818</v>
          </cell>
          <cell r="B407">
            <v>5.7409999999999997</v>
          </cell>
        </row>
        <row r="408">
          <cell r="A408" t="str">
            <v>SW6819</v>
          </cell>
          <cell r="B408">
            <v>6.2230999999999996</v>
          </cell>
        </row>
        <row r="409">
          <cell r="A409" t="str">
            <v>SW6820</v>
          </cell>
          <cell r="B409">
            <v>6.2461000000000002</v>
          </cell>
        </row>
        <row r="410">
          <cell r="A410" t="str">
            <v>SW6821</v>
          </cell>
          <cell r="B410">
            <v>5.9337</v>
          </cell>
        </row>
        <row r="411">
          <cell r="A411" t="str">
            <v>SW6822</v>
          </cell>
          <cell r="B411">
            <v>5.9337</v>
          </cell>
        </row>
        <row r="412">
          <cell r="A412" t="str">
            <v>SW6823</v>
          </cell>
          <cell r="B412">
            <v>5.7564000000000002</v>
          </cell>
        </row>
        <row r="413">
          <cell r="A413" t="str">
            <v>SW6824</v>
          </cell>
          <cell r="B413">
            <v>6.0728</v>
          </cell>
        </row>
        <row r="414">
          <cell r="A414" t="str">
            <v>SW6825</v>
          </cell>
          <cell r="B414">
            <v>6.2188999999999997</v>
          </cell>
        </row>
        <row r="415">
          <cell r="A415" t="str">
            <v>SW6826</v>
          </cell>
          <cell r="B415">
            <v>5.9337</v>
          </cell>
        </row>
        <row r="416">
          <cell r="A416" t="str">
            <v>SW6827</v>
          </cell>
          <cell r="B416">
            <v>5.9377000000000004</v>
          </cell>
        </row>
        <row r="417">
          <cell r="A417" t="str">
            <v>SW6828</v>
          </cell>
          <cell r="B417">
            <v>6.8619000000000003</v>
          </cell>
        </row>
        <row r="418">
          <cell r="A418" t="str">
            <v>SW6828.L001</v>
          </cell>
          <cell r="B418">
            <v>7.0186999999999999</v>
          </cell>
        </row>
        <row r="419">
          <cell r="A419" t="str">
            <v>SW6829</v>
          </cell>
          <cell r="B419">
            <v>9.202</v>
          </cell>
        </row>
        <row r="420">
          <cell r="A420" t="str">
            <v>SW6830</v>
          </cell>
          <cell r="B420">
            <v>5.9877000000000002</v>
          </cell>
        </row>
        <row r="421">
          <cell r="A421" t="str">
            <v>SW6831</v>
          </cell>
          <cell r="B421">
            <v>5.9222999999999999</v>
          </cell>
        </row>
        <row r="422">
          <cell r="A422" t="str">
            <v>SW6832</v>
          </cell>
          <cell r="B422">
            <v>6.1124000000000001</v>
          </cell>
        </row>
        <row r="423">
          <cell r="A423" t="str">
            <v>SW6833</v>
          </cell>
          <cell r="B423">
            <v>6.1424000000000003</v>
          </cell>
        </row>
        <row r="424">
          <cell r="A424" t="str">
            <v>SW6834</v>
          </cell>
          <cell r="B424">
            <v>5.9542999999999999</v>
          </cell>
        </row>
        <row r="425">
          <cell r="A425" t="str">
            <v>SW6835</v>
          </cell>
          <cell r="B425">
            <v>6.2233999999999998</v>
          </cell>
        </row>
        <row r="426">
          <cell r="A426" t="str">
            <v>SW6900</v>
          </cell>
          <cell r="B426">
            <v>7.3127000000000004</v>
          </cell>
        </row>
        <row r="427">
          <cell r="A427" t="str">
            <v>SW6901</v>
          </cell>
          <cell r="B427">
            <v>5.3213999999999997</v>
          </cell>
        </row>
        <row r="428">
          <cell r="A428" t="str">
            <v>SW6902</v>
          </cell>
          <cell r="B428">
            <v>4.4433999999999996</v>
          </cell>
        </row>
        <row r="429">
          <cell r="A429" t="str">
            <v>SW6903</v>
          </cell>
          <cell r="B429">
            <v>4.2343000000000002</v>
          </cell>
        </row>
        <row r="430">
          <cell r="A430" t="str">
            <v>SW6904</v>
          </cell>
          <cell r="B430">
            <v>4.1877000000000004</v>
          </cell>
        </row>
        <row r="431">
          <cell r="A431" t="str">
            <v>SW6905</v>
          </cell>
          <cell r="B431">
            <v>4.2343000000000002</v>
          </cell>
        </row>
        <row r="432">
          <cell r="A432" t="str">
            <v>SW6906</v>
          </cell>
          <cell r="B432">
            <v>4.0548999999999999</v>
          </cell>
        </row>
        <row r="433">
          <cell r="A433" t="str">
            <v>SW6907</v>
          </cell>
          <cell r="B433">
            <v>5.1025</v>
          </cell>
        </row>
        <row r="434">
          <cell r="A434" t="str">
            <v>SW6908</v>
          </cell>
          <cell r="B434">
            <v>4.4398999999999997</v>
          </cell>
        </row>
        <row r="435">
          <cell r="A435" t="str">
            <v>SW6910</v>
          </cell>
          <cell r="B435">
            <v>5.1516000000000002</v>
          </cell>
        </row>
        <row r="436">
          <cell r="A436" t="str">
            <v>SW6911</v>
          </cell>
          <cell r="B436">
            <v>5.0187999999999997</v>
          </cell>
        </row>
        <row r="437">
          <cell r="A437" t="str">
            <v>SW6912</v>
          </cell>
          <cell r="B437">
            <v>5.3136000000000001</v>
          </cell>
        </row>
        <row r="438">
          <cell r="A438" t="str">
            <v>SW6913</v>
          </cell>
          <cell r="B438">
            <v>5.2304000000000004</v>
          </cell>
        </row>
        <row r="439">
          <cell r="A439" t="str">
            <v>SW6914</v>
          </cell>
          <cell r="B439">
            <v>5.1097000000000001</v>
          </cell>
        </row>
        <row r="440">
          <cell r="A440" t="str">
            <v>SW6915</v>
          </cell>
          <cell r="B440">
            <v>5.0237999999999996</v>
          </cell>
        </row>
        <row r="441">
          <cell r="A441" t="str">
            <v>SW6916</v>
          </cell>
          <cell r="B441">
            <v>5.2502000000000004</v>
          </cell>
        </row>
        <row r="442">
          <cell r="A442" t="str">
            <v>SW6917</v>
          </cell>
          <cell r="B442">
            <v>7.0410000000000004</v>
          </cell>
        </row>
        <row r="443">
          <cell r="A443" t="str">
            <v>SW6918</v>
          </cell>
          <cell r="B443">
            <v>5.5693999999999999</v>
          </cell>
        </row>
        <row r="444">
          <cell r="A444" t="str">
            <v>SW6919</v>
          </cell>
          <cell r="B444">
            <v>5.1097000000000001</v>
          </cell>
        </row>
        <row r="445">
          <cell r="A445" t="str">
            <v>SW6920</v>
          </cell>
          <cell r="B445">
            <v>5.1097000000000001</v>
          </cell>
        </row>
        <row r="446">
          <cell r="A446" t="str">
            <v>SW6921</v>
          </cell>
          <cell r="B446">
            <v>5.0187999999999997</v>
          </cell>
        </row>
        <row r="447">
          <cell r="A447" t="str">
            <v>SW6922</v>
          </cell>
          <cell r="B447">
            <v>5.1516000000000002</v>
          </cell>
        </row>
        <row r="448">
          <cell r="A448" t="str">
            <v>SW6923</v>
          </cell>
          <cell r="B448">
            <v>5.6135999999999999</v>
          </cell>
        </row>
        <row r="449">
          <cell r="A449" t="str">
            <v>SW6924</v>
          </cell>
          <cell r="B449">
            <v>5.2746000000000004</v>
          </cell>
        </row>
        <row r="450">
          <cell r="A450" t="str">
            <v>SW6925</v>
          </cell>
          <cell r="B450">
            <v>5.0237999999999996</v>
          </cell>
        </row>
        <row r="451">
          <cell r="A451" t="str">
            <v>SW6926</v>
          </cell>
          <cell r="B451">
            <v>5.1174999999999997</v>
          </cell>
        </row>
        <row r="452">
          <cell r="A452" t="str">
            <v>SW6927</v>
          </cell>
          <cell r="B452">
            <v>7.1193999999999997</v>
          </cell>
        </row>
        <row r="453">
          <cell r="A453" t="str">
            <v>SW6928</v>
          </cell>
          <cell r="B453">
            <v>5.0187999999999997</v>
          </cell>
        </row>
        <row r="454">
          <cell r="A454" t="str">
            <v>SW6929</v>
          </cell>
          <cell r="B454">
            <v>5.0187999999999997</v>
          </cell>
        </row>
        <row r="455">
          <cell r="A455" t="str">
            <v>SW6930</v>
          </cell>
          <cell r="B455">
            <v>5.0713999999999997</v>
          </cell>
        </row>
        <row r="456">
          <cell r="A456" t="str">
            <v>SW6931</v>
          </cell>
          <cell r="B456">
            <v>3.9584999999999999</v>
          </cell>
        </row>
        <row r="457">
          <cell r="A457" t="str">
            <v>SW6932</v>
          </cell>
          <cell r="B457">
            <v>5.1174999999999997</v>
          </cell>
        </row>
        <row r="458">
          <cell r="A458" t="str">
            <v>SW6933</v>
          </cell>
          <cell r="B458">
            <v>7.0342000000000002</v>
          </cell>
        </row>
        <row r="459">
          <cell r="A459" t="str">
            <v>SW6934</v>
          </cell>
          <cell r="B459">
            <v>5.3537999999999997</v>
          </cell>
        </row>
        <row r="460">
          <cell r="A460" t="str">
            <v>SW6935</v>
          </cell>
          <cell r="B460">
            <v>5.0237999999999996</v>
          </cell>
        </row>
        <row r="461">
          <cell r="A461" t="str">
            <v>SW6936</v>
          </cell>
          <cell r="B461">
            <v>5.4463999999999997</v>
          </cell>
        </row>
        <row r="462">
          <cell r="A462" t="str">
            <v>SW6937</v>
          </cell>
          <cell r="B462">
            <v>5.3136000000000001</v>
          </cell>
        </row>
        <row r="463">
          <cell r="A463" t="str">
            <v>SW6938</v>
          </cell>
          <cell r="B463">
            <v>4.8860999999999999</v>
          </cell>
        </row>
        <row r="464">
          <cell r="A464" t="str">
            <v>SW6939</v>
          </cell>
          <cell r="B464">
            <v>5.3602999999999996</v>
          </cell>
        </row>
        <row r="465">
          <cell r="A465" t="str">
            <v>SW6940</v>
          </cell>
          <cell r="B465">
            <v>5.0266000000000002</v>
          </cell>
        </row>
        <row r="466">
          <cell r="A466" t="str">
            <v>SW6941</v>
          </cell>
          <cell r="B466">
            <v>5.3262</v>
          </cell>
        </row>
        <row r="467">
          <cell r="A467" t="str">
            <v>SW6942</v>
          </cell>
          <cell r="B467">
            <v>5.383</v>
          </cell>
        </row>
      </sheetData>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Log"/>
      <sheetName val="Source Data"/>
      <sheetName val="IM Risk Score Per Pipeline"/>
      <sheetName val="IM System Name"/>
      <sheetName val="Pivot Analysis"/>
      <sheetName val="Pivot $ per Year"/>
      <sheetName val="Directions"/>
      <sheetName val="Pivot Division Capital"/>
    </sheetNames>
    <sheetDataSet>
      <sheetData sheetId="0"/>
      <sheetData sheetId="1">
        <row r="21">
          <cell r="B21">
            <v>2013</v>
          </cell>
        </row>
        <row r="47">
          <cell r="B47" t="str">
            <v>ALL</v>
          </cell>
        </row>
        <row r="48">
          <cell r="B48" t="str">
            <v>VEDN</v>
          </cell>
        </row>
        <row r="49">
          <cell r="B49" t="str">
            <v>VEDS</v>
          </cell>
        </row>
        <row r="50">
          <cell r="B50" t="str">
            <v>VAUI</v>
          </cell>
        </row>
        <row r="51">
          <cell r="B51" t="str">
            <v>VEDO</v>
          </cell>
        </row>
        <row r="54">
          <cell r="B54" t="str">
            <v>ALL</v>
          </cell>
        </row>
        <row r="55">
          <cell r="B55" t="str">
            <v>NE4001</v>
          </cell>
        </row>
        <row r="56">
          <cell r="B56" t="str">
            <v>NE4002</v>
          </cell>
        </row>
        <row r="57">
          <cell r="B57" t="str">
            <v>NE4003</v>
          </cell>
        </row>
        <row r="58">
          <cell r="B58" t="str">
            <v>NE4004</v>
          </cell>
        </row>
        <row r="59">
          <cell r="B59" t="str">
            <v>NE4005</v>
          </cell>
        </row>
        <row r="60">
          <cell r="B60" t="str">
            <v>NE4006</v>
          </cell>
        </row>
        <row r="61">
          <cell r="B61" t="str">
            <v>NE4007</v>
          </cell>
        </row>
        <row r="62">
          <cell r="B62" t="str">
            <v>NE4008</v>
          </cell>
        </row>
        <row r="63">
          <cell r="B63" t="str">
            <v>NE4009</v>
          </cell>
        </row>
        <row r="64">
          <cell r="B64" t="str">
            <v>NE4010</v>
          </cell>
        </row>
        <row r="65">
          <cell r="B65" t="str">
            <v>NE4012</v>
          </cell>
        </row>
        <row r="66">
          <cell r="B66" t="str">
            <v>NE4013</v>
          </cell>
        </row>
        <row r="67">
          <cell r="B67" t="str">
            <v>NE4014</v>
          </cell>
        </row>
        <row r="68">
          <cell r="B68" t="str">
            <v>NE4015</v>
          </cell>
        </row>
        <row r="69">
          <cell r="B69" t="str">
            <v>NE4016</v>
          </cell>
        </row>
        <row r="70">
          <cell r="B70" t="str">
            <v>NE4017</v>
          </cell>
        </row>
        <row r="71">
          <cell r="B71" t="str">
            <v>NE4018</v>
          </cell>
        </row>
        <row r="72">
          <cell r="B72" t="str">
            <v>NE4019</v>
          </cell>
        </row>
        <row r="73">
          <cell r="B73" t="str">
            <v>NE4020</v>
          </cell>
        </row>
        <row r="74">
          <cell r="B74" t="str">
            <v>NE4021</v>
          </cell>
        </row>
        <row r="75">
          <cell r="B75" t="str">
            <v>NE4022</v>
          </cell>
        </row>
        <row r="76">
          <cell r="B76" t="str">
            <v>NE4023</v>
          </cell>
        </row>
        <row r="77">
          <cell r="B77" t="str">
            <v>NE4024</v>
          </cell>
        </row>
        <row r="78">
          <cell r="B78" t="str">
            <v>NE4025</v>
          </cell>
        </row>
        <row r="79">
          <cell r="B79" t="str">
            <v>NE4027</v>
          </cell>
        </row>
        <row r="80">
          <cell r="B80" t="str">
            <v>NE4028</v>
          </cell>
        </row>
        <row r="81">
          <cell r="B81" t="str">
            <v>NE4029</v>
          </cell>
        </row>
        <row r="82">
          <cell r="B82" t="str">
            <v>NE4030</v>
          </cell>
        </row>
        <row r="83">
          <cell r="B83" t="str">
            <v>NE4031</v>
          </cell>
        </row>
        <row r="84">
          <cell r="B84" t="str">
            <v>NE4032</v>
          </cell>
        </row>
        <row r="85">
          <cell r="B85" t="str">
            <v>NE4033</v>
          </cell>
        </row>
        <row r="86">
          <cell r="B86" t="str">
            <v>NS5001</v>
          </cell>
        </row>
        <row r="87">
          <cell r="B87" t="str">
            <v>NS5002</v>
          </cell>
        </row>
        <row r="88">
          <cell r="B88" t="str">
            <v>NS5003</v>
          </cell>
        </row>
        <row r="89">
          <cell r="B89" t="str">
            <v>NS5004</v>
          </cell>
        </row>
        <row r="90">
          <cell r="B90" t="str">
            <v>NS5005</v>
          </cell>
        </row>
        <row r="91">
          <cell r="B91" t="str">
            <v>NS5006</v>
          </cell>
        </row>
        <row r="92">
          <cell r="B92" t="str">
            <v>NS5007</v>
          </cell>
        </row>
        <row r="93">
          <cell r="B93" t="str">
            <v>NS5008</v>
          </cell>
        </row>
        <row r="94">
          <cell r="B94" t="str">
            <v>NS5009</v>
          </cell>
        </row>
        <row r="95">
          <cell r="B95" t="str">
            <v>NS5010</v>
          </cell>
        </row>
        <row r="96">
          <cell r="B96" t="str">
            <v>NS5011</v>
          </cell>
        </row>
        <row r="97">
          <cell r="B97" t="str">
            <v>NS5012</v>
          </cell>
        </row>
        <row r="98">
          <cell r="B98" t="str">
            <v>NS5013</v>
          </cell>
        </row>
        <row r="99">
          <cell r="B99" t="str">
            <v>NS5014</v>
          </cell>
        </row>
        <row r="100">
          <cell r="B100" t="str">
            <v>NS5015</v>
          </cell>
        </row>
        <row r="101">
          <cell r="B101" t="str">
            <v>NS5016</v>
          </cell>
        </row>
        <row r="102">
          <cell r="B102" t="str">
            <v>NS5017</v>
          </cell>
        </row>
        <row r="103">
          <cell r="B103" t="str">
            <v>NS5050</v>
          </cell>
        </row>
        <row r="104">
          <cell r="B104" t="str">
            <v>NS5051</v>
          </cell>
        </row>
        <row r="105">
          <cell r="B105" t="str">
            <v>NS5052</v>
          </cell>
        </row>
        <row r="106">
          <cell r="B106" t="str">
            <v>NS5053</v>
          </cell>
        </row>
        <row r="107">
          <cell r="B107" t="str">
            <v>NS5054</v>
          </cell>
        </row>
        <row r="108">
          <cell r="B108" t="str">
            <v>NS5055</v>
          </cell>
        </row>
        <row r="109">
          <cell r="B109" t="str">
            <v>NS5056</v>
          </cell>
        </row>
        <row r="110">
          <cell r="B110" t="str">
            <v>NS5057</v>
          </cell>
        </row>
        <row r="111">
          <cell r="B111" t="str">
            <v>NS5058</v>
          </cell>
        </row>
        <row r="112">
          <cell r="B112" t="str">
            <v>NS5059</v>
          </cell>
        </row>
        <row r="113">
          <cell r="B113" t="str">
            <v>NS5060</v>
          </cell>
        </row>
        <row r="114">
          <cell r="B114" t="str">
            <v>NS5061</v>
          </cell>
        </row>
        <row r="115">
          <cell r="B115" t="str">
            <v>NS5120</v>
          </cell>
        </row>
        <row r="116">
          <cell r="B116" t="str">
            <v>NS5140</v>
          </cell>
        </row>
        <row r="117">
          <cell r="B117" t="str">
            <v>NS5141</v>
          </cell>
        </row>
        <row r="118">
          <cell r="B118" t="str">
            <v>NS5142</v>
          </cell>
        </row>
        <row r="119">
          <cell r="B119" t="str">
            <v>NS5143</v>
          </cell>
        </row>
        <row r="120">
          <cell r="B120" t="str">
            <v>NS5144</v>
          </cell>
        </row>
        <row r="121">
          <cell r="B121" t="str">
            <v>NS5145</v>
          </cell>
        </row>
        <row r="122">
          <cell r="B122" t="str">
            <v>NS5146</v>
          </cell>
        </row>
        <row r="123">
          <cell r="B123" t="str">
            <v>NS5147</v>
          </cell>
        </row>
        <row r="124">
          <cell r="B124" t="str">
            <v>NS5148</v>
          </cell>
        </row>
        <row r="125">
          <cell r="B125" t="str">
            <v>NS5149</v>
          </cell>
        </row>
        <row r="126">
          <cell r="B126" t="str">
            <v>NS5150</v>
          </cell>
        </row>
        <row r="127">
          <cell r="B127" t="str">
            <v>NS5700</v>
          </cell>
        </row>
        <row r="128">
          <cell r="B128" t="str">
            <v>NS5701</v>
          </cell>
        </row>
        <row r="129">
          <cell r="B129" t="str">
            <v>NS5702</v>
          </cell>
        </row>
        <row r="130">
          <cell r="B130" t="str">
            <v>NS5703</v>
          </cell>
        </row>
        <row r="131">
          <cell r="B131" t="str">
            <v>NS5704</v>
          </cell>
        </row>
        <row r="132">
          <cell r="B132" t="str">
            <v>NS5705</v>
          </cell>
        </row>
        <row r="133">
          <cell r="B133" t="str">
            <v>NS5706</v>
          </cell>
        </row>
        <row r="134">
          <cell r="B134" t="str">
            <v>NS5707</v>
          </cell>
        </row>
        <row r="135">
          <cell r="B135" t="str">
            <v>NS5708</v>
          </cell>
        </row>
        <row r="136">
          <cell r="B136" t="str">
            <v>NS5709</v>
          </cell>
        </row>
        <row r="137">
          <cell r="B137" t="str">
            <v>NS5710</v>
          </cell>
        </row>
        <row r="138">
          <cell r="B138" t="str">
            <v>NS5711</v>
          </cell>
        </row>
        <row r="139">
          <cell r="B139" t="str">
            <v>NS5712</v>
          </cell>
        </row>
        <row r="140">
          <cell r="B140" t="str">
            <v>NS5713</v>
          </cell>
        </row>
        <row r="141">
          <cell r="B141" t="str">
            <v>NS5714</v>
          </cell>
        </row>
        <row r="142">
          <cell r="B142" t="str">
            <v>NS5715</v>
          </cell>
        </row>
        <row r="143">
          <cell r="B143" t="str">
            <v>NS5716</v>
          </cell>
        </row>
        <row r="144">
          <cell r="B144" t="str">
            <v>NS5717</v>
          </cell>
        </row>
        <row r="145">
          <cell r="B145" t="str">
            <v>NS5718</v>
          </cell>
        </row>
        <row r="146">
          <cell r="B146" t="str">
            <v>NS5719</v>
          </cell>
        </row>
        <row r="147">
          <cell r="B147" t="str">
            <v>NS5720</v>
          </cell>
        </row>
        <row r="148">
          <cell r="B148" t="str">
            <v>NS5721</v>
          </cell>
        </row>
        <row r="149">
          <cell r="B149" t="str">
            <v>NS5750</v>
          </cell>
        </row>
        <row r="150">
          <cell r="B150" t="str">
            <v>NS5751</v>
          </cell>
        </row>
        <row r="151">
          <cell r="B151" t="str">
            <v>NS5752</v>
          </cell>
        </row>
        <row r="152">
          <cell r="B152" t="str">
            <v>NS5753</v>
          </cell>
        </row>
        <row r="153">
          <cell r="B153" t="str">
            <v>NS5754</v>
          </cell>
        </row>
        <row r="154">
          <cell r="B154" t="str">
            <v>NS5755</v>
          </cell>
        </row>
        <row r="155">
          <cell r="B155" t="str">
            <v>NS5756</v>
          </cell>
        </row>
        <row r="156">
          <cell r="B156" t="str">
            <v>NS5757</v>
          </cell>
        </row>
        <row r="157">
          <cell r="B157" t="str">
            <v>NS5758</v>
          </cell>
        </row>
        <row r="158">
          <cell r="B158" t="str">
            <v>NS5759</v>
          </cell>
        </row>
        <row r="159">
          <cell r="B159" t="str">
            <v>NS5760</v>
          </cell>
        </row>
        <row r="160">
          <cell r="B160" t="str">
            <v>NS5761</v>
          </cell>
        </row>
        <row r="161">
          <cell r="B161" t="str">
            <v>NS5762</v>
          </cell>
        </row>
        <row r="162">
          <cell r="B162" t="str">
            <v>NS5763</v>
          </cell>
        </row>
        <row r="163">
          <cell r="B163" t="str">
            <v>NS5764</v>
          </cell>
        </row>
        <row r="164">
          <cell r="B164" t="str">
            <v>NS5802</v>
          </cell>
        </row>
        <row r="165">
          <cell r="B165" t="str">
            <v>NS5803</v>
          </cell>
        </row>
        <row r="166">
          <cell r="B166" t="str">
            <v>NS5805</v>
          </cell>
        </row>
        <row r="167">
          <cell r="B167" t="str">
            <v>NS5806</v>
          </cell>
        </row>
        <row r="168">
          <cell r="B168" t="str">
            <v>NS5807</v>
          </cell>
        </row>
        <row r="169">
          <cell r="B169" t="str">
            <v>NS5808</v>
          </cell>
        </row>
        <row r="170">
          <cell r="B170" t="str">
            <v>NS5809</v>
          </cell>
        </row>
        <row r="171">
          <cell r="B171" t="str">
            <v>NS5810</v>
          </cell>
        </row>
        <row r="172">
          <cell r="B172" t="str">
            <v>NS5811</v>
          </cell>
        </row>
        <row r="173">
          <cell r="B173" t="str">
            <v>NS5812</v>
          </cell>
        </row>
        <row r="174">
          <cell r="B174" t="str">
            <v>NS5813</v>
          </cell>
        </row>
        <row r="175">
          <cell r="B175" t="str">
            <v>NS5814</v>
          </cell>
        </row>
        <row r="176">
          <cell r="B176" t="str">
            <v>NS5815</v>
          </cell>
        </row>
        <row r="177">
          <cell r="B177" t="str">
            <v>NS5816</v>
          </cell>
        </row>
        <row r="178">
          <cell r="B178" t="str">
            <v>NS5817</v>
          </cell>
        </row>
        <row r="179">
          <cell r="B179" t="str">
            <v>NS5818</v>
          </cell>
        </row>
        <row r="180">
          <cell r="B180" t="str">
            <v>NS5819</v>
          </cell>
        </row>
        <row r="181">
          <cell r="B181" t="str">
            <v>NS5820</v>
          </cell>
        </row>
        <row r="182">
          <cell r="B182" t="str">
            <v>NS5821</v>
          </cell>
        </row>
        <row r="183">
          <cell r="B183" t="str">
            <v>NS5822</v>
          </cell>
        </row>
        <row r="184">
          <cell r="B184" t="str">
            <v>NS5823</v>
          </cell>
        </row>
        <row r="185">
          <cell r="B185" t="str">
            <v>NS5824</v>
          </cell>
        </row>
        <row r="186">
          <cell r="B186" t="str">
            <v>NS5825</v>
          </cell>
        </row>
        <row r="187">
          <cell r="B187" t="str">
            <v>NS5826</v>
          </cell>
        </row>
        <row r="188">
          <cell r="B188" t="str">
            <v>NS5827</v>
          </cell>
        </row>
        <row r="189">
          <cell r="B189" t="str">
            <v>NS5828</v>
          </cell>
        </row>
        <row r="190">
          <cell r="B190" t="str">
            <v>NS5829</v>
          </cell>
        </row>
        <row r="191">
          <cell r="B191" t="str">
            <v>NS5830</v>
          </cell>
        </row>
        <row r="192">
          <cell r="B192" t="str">
            <v>NS5831</v>
          </cell>
        </row>
        <row r="193">
          <cell r="B193" t="str">
            <v>NS5832</v>
          </cell>
        </row>
        <row r="194">
          <cell r="B194" t="str">
            <v>NS5833</v>
          </cell>
        </row>
        <row r="195">
          <cell r="B195" t="str">
            <v>NS5834</v>
          </cell>
        </row>
        <row r="196">
          <cell r="B196" t="str">
            <v>NS5835</v>
          </cell>
        </row>
        <row r="197">
          <cell r="B197" t="str">
            <v>NS5836</v>
          </cell>
        </row>
        <row r="198">
          <cell r="B198" t="str">
            <v>NS5837</v>
          </cell>
        </row>
        <row r="199">
          <cell r="B199" t="str">
            <v>NS5838</v>
          </cell>
        </row>
        <row r="200">
          <cell r="B200" t="str">
            <v>NS5839</v>
          </cell>
        </row>
        <row r="201">
          <cell r="B201" t="str">
            <v>NS5840</v>
          </cell>
        </row>
        <row r="202">
          <cell r="B202" t="str">
            <v>NS5841</v>
          </cell>
        </row>
        <row r="203">
          <cell r="B203" t="str">
            <v>NS5842</v>
          </cell>
        </row>
        <row r="204">
          <cell r="B204" t="str">
            <v>NS5843</v>
          </cell>
        </row>
        <row r="205">
          <cell r="B205" t="str">
            <v>NS5844</v>
          </cell>
        </row>
        <row r="206">
          <cell r="B206" t="str">
            <v>NS5845</v>
          </cell>
        </row>
        <row r="207">
          <cell r="B207" t="str">
            <v>NS5846</v>
          </cell>
        </row>
        <row r="208">
          <cell r="B208" t="str">
            <v>NS5847</v>
          </cell>
        </row>
        <row r="209">
          <cell r="B209" t="str">
            <v>NS5848</v>
          </cell>
        </row>
        <row r="210">
          <cell r="B210" t="str">
            <v>NS5849</v>
          </cell>
        </row>
        <row r="211">
          <cell r="B211" t="str">
            <v>NS5850</v>
          </cell>
        </row>
        <row r="212">
          <cell r="B212" t="str">
            <v>NS5851</v>
          </cell>
        </row>
        <row r="213">
          <cell r="B213" t="str">
            <v>NS5852</v>
          </cell>
        </row>
        <row r="214">
          <cell r="B214" t="str">
            <v>NS5853</v>
          </cell>
        </row>
        <row r="215">
          <cell r="B215" t="str">
            <v>NS5854</v>
          </cell>
        </row>
        <row r="216">
          <cell r="B216" t="str">
            <v>NS5855</v>
          </cell>
        </row>
        <row r="217">
          <cell r="B217" t="str">
            <v>NS5856</v>
          </cell>
        </row>
        <row r="218">
          <cell r="B218" t="str">
            <v>NS5857</v>
          </cell>
        </row>
        <row r="219">
          <cell r="B219" t="str">
            <v>NS5858</v>
          </cell>
        </row>
        <row r="220">
          <cell r="B220" t="str">
            <v>NS5859</v>
          </cell>
        </row>
        <row r="221">
          <cell r="B221" t="str">
            <v>NS5860</v>
          </cell>
        </row>
        <row r="222">
          <cell r="B222" t="str">
            <v>NS5861</v>
          </cell>
        </row>
        <row r="223">
          <cell r="B223" t="str">
            <v>NS5862</v>
          </cell>
        </row>
        <row r="224">
          <cell r="B224" t="str">
            <v>NS5863</v>
          </cell>
        </row>
        <row r="225">
          <cell r="B225" t="str">
            <v>NS5864</v>
          </cell>
        </row>
        <row r="226">
          <cell r="B226" t="str">
            <v>NS5865</v>
          </cell>
        </row>
        <row r="227">
          <cell r="B227" t="str">
            <v>NS5866</v>
          </cell>
        </row>
        <row r="228">
          <cell r="B228" t="str">
            <v>NS5867</v>
          </cell>
        </row>
        <row r="229">
          <cell r="B229" t="str">
            <v>NS5868</v>
          </cell>
        </row>
        <row r="230">
          <cell r="B230" t="str">
            <v>NS5869</v>
          </cell>
        </row>
        <row r="231">
          <cell r="B231" t="str">
            <v>NS5870</v>
          </cell>
        </row>
        <row r="232">
          <cell r="B232" t="str">
            <v>NS5871</v>
          </cell>
        </row>
        <row r="233">
          <cell r="B233" t="str">
            <v>NS5872</v>
          </cell>
        </row>
        <row r="234">
          <cell r="B234" t="str">
            <v>NS5873</v>
          </cell>
        </row>
        <row r="235">
          <cell r="B235" t="str">
            <v>NW3001</v>
          </cell>
        </row>
        <row r="236">
          <cell r="B236" t="str">
            <v>NW3002</v>
          </cell>
        </row>
        <row r="237">
          <cell r="B237" t="str">
            <v>NW3003</v>
          </cell>
        </row>
        <row r="238">
          <cell r="B238" t="str">
            <v>NW3004</v>
          </cell>
        </row>
        <row r="239">
          <cell r="B239" t="str">
            <v>NW3005</v>
          </cell>
        </row>
        <row r="240">
          <cell r="B240" t="str">
            <v>NW3100</v>
          </cell>
        </row>
        <row r="241">
          <cell r="B241" t="str">
            <v>NW3101</v>
          </cell>
        </row>
        <row r="242">
          <cell r="B242" t="str">
            <v>NW3102</v>
          </cell>
        </row>
        <row r="243">
          <cell r="B243" t="str">
            <v>NW3103</v>
          </cell>
        </row>
        <row r="244">
          <cell r="B244" t="str">
            <v>NW3104</v>
          </cell>
        </row>
        <row r="245">
          <cell r="B245" t="str">
            <v>NW3105</v>
          </cell>
        </row>
        <row r="246">
          <cell r="B246" t="str">
            <v>NW3106</v>
          </cell>
        </row>
        <row r="247">
          <cell r="B247" t="str">
            <v>NW3106.001</v>
          </cell>
        </row>
        <row r="248">
          <cell r="B248" t="str">
            <v>NW3107</v>
          </cell>
        </row>
        <row r="249">
          <cell r="B249" t="str">
            <v>NW3108</v>
          </cell>
        </row>
        <row r="250">
          <cell r="B250" t="str">
            <v>NW3109</v>
          </cell>
        </row>
        <row r="251">
          <cell r="B251" t="str">
            <v>NW3109.001</v>
          </cell>
        </row>
        <row r="252">
          <cell r="B252" t="str">
            <v>NW3110</v>
          </cell>
        </row>
        <row r="253">
          <cell r="B253" t="str">
            <v>NW3110.001</v>
          </cell>
        </row>
        <row r="254">
          <cell r="B254" t="str">
            <v>NW3110.002</v>
          </cell>
        </row>
        <row r="255">
          <cell r="B255" t="str">
            <v>NW3110.003</v>
          </cell>
        </row>
        <row r="256">
          <cell r="B256" t="str">
            <v>NW3111</v>
          </cell>
        </row>
        <row r="257">
          <cell r="B257" t="str">
            <v>NW3112</v>
          </cell>
        </row>
        <row r="258">
          <cell r="B258" t="str">
            <v>NW3113</v>
          </cell>
        </row>
        <row r="259">
          <cell r="B259" t="str">
            <v>NW3114</v>
          </cell>
        </row>
        <row r="260">
          <cell r="B260" t="str">
            <v>NW3115</v>
          </cell>
        </row>
        <row r="261">
          <cell r="B261" t="str">
            <v>NW3116</v>
          </cell>
        </row>
        <row r="262">
          <cell r="B262" t="str">
            <v>NW3117</v>
          </cell>
        </row>
        <row r="263">
          <cell r="B263" t="str">
            <v>NW3118</v>
          </cell>
        </row>
        <row r="264">
          <cell r="B264" t="str">
            <v>NW3119</v>
          </cell>
        </row>
        <row r="265">
          <cell r="B265" t="str">
            <v>NW3120</v>
          </cell>
        </row>
        <row r="266">
          <cell r="B266" t="str">
            <v>NW3121</v>
          </cell>
        </row>
        <row r="267">
          <cell r="B267" t="str">
            <v>NW3122</v>
          </cell>
        </row>
        <row r="268">
          <cell r="B268" t="str">
            <v>NW3124</v>
          </cell>
        </row>
        <row r="269">
          <cell r="B269" t="str">
            <v>NW3125</v>
          </cell>
        </row>
        <row r="270">
          <cell r="B270" t="str">
            <v>NW3126</v>
          </cell>
        </row>
        <row r="271">
          <cell r="B271" t="str">
            <v>NW3127</v>
          </cell>
        </row>
        <row r="272">
          <cell r="B272" t="str">
            <v>NW3128</v>
          </cell>
        </row>
        <row r="273">
          <cell r="B273" t="str">
            <v>NW3128.001</v>
          </cell>
        </row>
        <row r="274">
          <cell r="B274" t="str">
            <v>NW3128.002</v>
          </cell>
        </row>
        <row r="275">
          <cell r="B275" t="str">
            <v>NW3129</v>
          </cell>
        </row>
        <row r="276">
          <cell r="B276" t="str">
            <v>NW3800</v>
          </cell>
        </row>
        <row r="277">
          <cell r="B277" t="str">
            <v>NW3801</v>
          </cell>
        </row>
        <row r="278">
          <cell r="B278" t="str">
            <v>NW3802</v>
          </cell>
        </row>
        <row r="279">
          <cell r="B279" t="str">
            <v>NW3803</v>
          </cell>
        </row>
        <row r="280">
          <cell r="B280" t="str">
            <v>NW3804</v>
          </cell>
        </row>
        <row r="281">
          <cell r="B281" t="str">
            <v>NW3805</v>
          </cell>
        </row>
        <row r="282">
          <cell r="B282" t="str">
            <v>NW3806</v>
          </cell>
        </row>
        <row r="283">
          <cell r="B283" t="str">
            <v>NW3807</v>
          </cell>
        </row>
        <row r="284">
          <cell r="B284" t="str">
            <v>NW3808</v>
          </cell>
        </row>
        <row r="285">
          <cell r="B285" t="str">
            <v>NW3809</v>
          </cell>
        </row>
        <row r="286">
          <cell r="B286" t="str">
            <v>NW3810</v>
          </cell>
        </row>
        <row r="287">
          <cell r="B287" t="str">
            <v>NW3811</v>
          </cell>
        </row>
        <row r="288">
          <cell r="B288" t="str">
            <v>NW3812</v>
          </cell>
        </row>
        <row r="289">
          <cell r="B289" t="str">
            <v>NW3813</v>
          </cell>
        </row>
        <row r="290">
          <cell r="B290" t="str">
            <v>NW3814</v>
          </cell>
        </row>
        <row r="291">
          <cell r="B291" t="str">
            <v>NW3815</v>
          </cell>
        </row>
        <row r="292">
          <cell r="B292" t="str">
            <v>NW3816</v>
          </cell>
        </row>
        <row r="293">
          <cell r="B293" t="str">
            <v>NW3817</v>
          </cell>
        </row>
        <row r="294">
          <cell r="B294" t="str">
            <v>NW3818</v>
          </cell>
        </row>
        <row r="295">
          <cell r="B295" t="str">
            <v>NW3819</v>
          </cell>
        </row>
        <row r="296">
          <cell r="B296" t="str">
            <v>NW3820</v>
          </cell>
        </row>
        <row r="297">
          <cell r="B297" t="str">
            <v>NW3821</v>
          </cell>
        </row>
        <row r="298">
          <cell r="B298" t="str">
            <v>NW3822</v>
          </cell>
        </row>
        <row r="299">
          <cell r="B299" t="str">
            <v>NW3823</v>
          </cell>
        </row>
        <row r="300">
          <cell r="B300" t="str">
            <v>NW3824</v>
          </cell>
        </row>
        <row r="301">
          <cell r="B301" t="str">
            <v>NW3825</v>
          </cell>
        </row>
        <row r="302">
          <cell r="B302" t="str">
            <v>NW3826</v>
          </cell>
        </row>
        <row r="303">
          <cell r="B303" t="str">
            <v>NW3827</v>
          </cell>
        </row>
        <row r="304">
          <cell r="B304" t="str">
            <v>NW3828</v>
          </cell>
        </row>
        <row r="305">
          <cell r="B305" t="str">
            <v>NW3829</v>
          </cell>
        </row>
        <row r="306">
          <cell r="B306" t="str">
            <v>NW3830</v>
          </cell>
        </row>
        <row r="307">
          <cell r="B307" t="str">
            <v>NW3831</v>
          </cell>
        </row>
        <row r="308">
          <cell r="B308" t="str">
            <v>NW3832</v>
          </cell>
        </row>
        <row r="309">
          <cell r="B309" t="str">
            <v>NW3833</v>
          </cell>
        </row>
        <row r="310">
          <cell r="B310" t="str">
            <v>NW3834</v>
          </cell>
        </row>
        <row r="311">
          <cell r="B311" t="str">
            <v>NW3835</v>
          </cell>
        </row>
        <row r="312">
          <cell r="B312" t="str">
            <v>NW3836</v>
          </cell>
        </row>
        <row r="313">
          <cell r="B313" t="str">
            <v>NW3837</v>
          </cell>
        </row>
        <row r="314">
          <cell r="B314" t="str">
            <v>NW3838</v>
          </cell>
        </row>
        <row r="315">
          <cell r="B315" t="str">
            <v>NW3839</v>
          </cell>
        </row>
        <row r="316">
          <cell r="B316" t="str">
            <v>NW3840</v>
          </cell>
        </row>
        <row r="317">
          <cell r="B317" t="str">
            <v>NW3841</v>
          </cell>
        </row>
        <row r="318">
          <cell r="B318" t="str">
            <v>NW3842</v>
          </cell>
        </row>
        <row r="319">
          <cell r="B319" t="str">
            <v>NW3843</v>
          </cell>
        </row>
        <row r="320">
          <cell r="B320" t="str">
            <v>NW3844</v>
          </cell>
        </row>
        <row r="321">
          <cell r="B321" t="str">
            <v>NW3845</v>
          </cell>
        </row>
        <row r="322">
          <cell r="B322" t="str">
            <v>NW3846</v>
          </cell>
        </row>
        <row r="323">
          <cell r="B323" t="str">
            <v>NW3847</v>
          </cell>
        </row>
        <row r="324">
          <cell r="B324" t="str">
            <v>OGA000</v>
          </cell>
        </row>
        <row r="325">
          <cell r="B325" t="str">
            <v>OGA077</v>
          </cell>
        </row>
        <row r="326">
          <cell r="B326" t="str">
            <v>OGA080</v>
          </cell>
        </row>
        <row r="327">
          <cell r="B327" t="str">
            <v>OGA097</v>
          </cell>
        </row>
        <row r="328">
          <cell r="B328" t="str">
            <v>OGA115</v>
          </cell>
        </row>
        <row r="329">
          <cell r="B329" t="str">
            <v>OGA116</v>
          </cell>
        </row>
        <row r="330">
          <cell r="B330" t="str">
            <v>OGA145</v>
          </cell>
        </row>
        <row r="331">
          <cell r="B331" t="str">
            <v>OGA161</v>
          </cell>
        </row>
        <row r="332">
          <cell r="B332" t="str">
            <v>OGZ036</v>
          </cell>
        </row>
        <row r="333">
          <cell r="B333" t="str">
            <v>OGZ036.001</v>
          </cell>
        </row>
        <row r="334">
          <cell r="B334" t="str">
            <v>OGZ038</v>
          </cell>
        </row>
        <row r="335">
          <cell r="B335" t="str">
            <v>OGZ050E</v>
          </cell>
        </row>
        <row r="336">
          <cell r="B336" t="str">
            <v>OGZ050W</v>
          </cell>
        </row>
        <row r="337">
          <cell r="B337" t="str">
            <v>OGZ051</v>
          </cell>
        </row>
        <row r="338">
          <cell r="B338" t="str">
            <v>OGZ167M</v>
          </cell>
        </row>
        <row r="339">
          <cell r="B339" t="str">
            <v>OGZ167N</v>
          </cell>
        </row>
        <row r="340">
          <cell r="B340" t="str">
            <v>OGZ167S</v>
          </cell>
        </row>
        <row r="341">
          <cell r="B341" t="str">
            <v>OGZ171</v>
          </cell>
        </row>
        <row r="342">
          <cell r="B342" t="str">
            <v>OGZ270</v>
          </cell>
        </row>
        <row r="343">
          <cell r="B343" t="str">
            <v>OGZ550W</v>
          </cell>
        </row>
        <row r="344">
          <cell r="B344" t="str">
            <v>SW6001</v>
          </cell>
        </row>
        <row r="345">
          <cell r="B345" t="str">
            <v>SW6002</v>
          </cell>
        </row>
        <row r="346">
          <cell r="B346" t="str">
            <v>SW6003</v>
          </cell>
        </row>
        <row r="347">
          <cell r="B347" t="str">
            <v>SW6004</v>
          </cell>
        </row>
        <row r="348">
          <cell r="B348" t="str">
            <v>SW6005</v>
          </cell>
        </row>
        <row r="349">
          <cell r="B349" t="str">
            <v>SW6006</v>
          </cell>
        </row>
        <row r="350">
          <cell r="B350" t="str">
            <v>SW6007</v>
          </cell>
        </row>
        <row r="351">
          <cell r="B351" t="str">
            <v>SW6069</v>
          </cell>
        </row>
        <row r="352">
          <cell r="B352" t="str">
            <v>SW6070</v>
          </cell>
        </row>
        <row r="353">
          <cell r="B353" t="str">
            <v>SW6071</v>
          </cell>
        </row>
        <row r="354">
          <cell r="B354" t="str">
            <v>SW6072</v>
          </cell>
        </row>
        <row r="355">
          <cell r="B355" t="str">
            <v>SW6073</v>
          </cell>
        </row>
        <row r="356">
          <cell r="B356" t="str">
            <v>SW6074</v>
          </cell>
        </row>
        <row r="357">
          <cell r="B357" t="str">
            <v>SW6075</v>
          </cell>
        </row>
        <row r="358">
          <cell r="B358" t="str">
            <v>SW6076</v>
          </cell>
        </row>
        <row r="359">
          <cell r="B359" t="str">
            <v>SW6077</v>
          </cell>
        </row>
        <row r="360">
          <cell r="B360" t="str">
            <v>SW6078</v>
          </cell>
        </row>
        <row r="361">
          <cell r="B361" t="str">
            <v>SW6079</v>
          </cell>
        </row>
        <row r="362">
          <cell r="B362" t="str">
            <v>SW6121</v>
          </cell>
        </row>
        <row r="363">
          <cell r="B363" t="str">
            <v>SW6122</v>
          </cell>
        </row>
        <row r="364">
          <cell r="B364" t="str">
            <v>SW6123</v>
          </cell>
        </row>
        <row r="365">
          <cell r="B365" t="str">
            <v>SW6124</v>
          </cell>
        </row>
        <row r="366">
          <cell r="B366" t="str">
            <v>SW6155</v>
          </cell>
        </row>
        <row r="367">
          <cell r="B367" t="str">
            <v>SW6156</v>
          </cell>
        </row>
        <row r="368">
          <cell r="B368" t="str">
            <v>SW6157</v>
          </cell>
        </row>
        <row r="369">
          <cell r="B369" t="str">
            <v>SW6158</v>
          </cell>
        </row>
        <row r="370">
          <cell r="B370" t="str">
            <v>SW6700</v>
          </cell>
        </row>
        <row r="371">
          <cell r="B371" t="str">
            <v>SW6701</v>
          </cell>
        </row>
        <row r="372">
          <cell r="B372" t="str">
            <v>SW6702</v>
          </cell>
        </row>
        <row r="373">
          <cell r="B373" t="str">
            <v>SW6703</v>
          </cell>
        </row>
        <row r="374">
          <cell r="B374" t="str">
            <v>SW6704</v>
          </cell>
        </row>
        <row r="375">
          <cell r="B375" t="str">
            <v>SW6705</v>
          </cell>
        </row>
        <row r="376">
          <cell r="B376" t="str">
            <v>SW6706</v>
          </cell>
        </row>
        <row r="377">
          <cell r="B377" t="str">
            <v>SW6707</v>
          </cell>
        </row>
        <row r="378">
          <cell r="B378" t="str">
            <v>SW6708</v>
          </cell>
        </row>
        <row r="379">
          <cell r="B379" t="str">
            <v>SW6709</v>
          </cell>
        </row>
        <row r="380">
          <cell r="B380" t="str">
            <v>SW6710</v>
          </cell>
        </row>
        <row r="381">
          <cell r="B381" t="str">
            <v>SW6711</v>
          </cell>
        </row>
        <row r="382">
          <cell r="B382" t="str">
            <v>SW6712</v>
          </cell>
        </row>
        <row r="383">
          <cell r="B383" t="str">
            <v>SW6713</v>
          </cell>
        </row>
        <row r="384">
          <cell r="B384" t="str">
            <v>SW6714</v>
          </cell>
        </row>
        <row r="385">
          <cell r="B385" t="str">
            <v>SW6715</v>
          </cell>
        </row>
        <row r="386">
          <cell r="B386" t="str">
            <v>SW6716</v>
          </cell>
        </row>
        <row r="387">
          <cell r="B387" t="str">
            <v>SW6717</v>
          </cell>
        </row>
        <row r="388">
          <cell r="B388" t="str">
            <v>SW6718</v>
          </cell>
        </row>
        <row r="389">
          <cell r="B389" t="str">
            <v>SW6719</v>
          </cell>
        </row>
        <row r="390">
          <cell r="B390" t="str">
            <v>SW6720</v>
          </cell>
        </row>
        <row r="391">
          <cell r="B391" t="str">
            <v>SW6721</v>
          </cell>
        </row>
        <row r="392">
          <cell r="B392" t="str">
            <v>SW6722</v>
          </cell>
        </row>
        <row r="393">
          <cell r="B393" t="str">
            <v>SW6723</v>
          </cell>
        </row>
        <row r="394">
          <cell r="B394" t="str">
            <v>SW6725</v>
          </cell>
        </row>
        <row r="395">
          <cell r="B395" t="str">
            <v>SW6726</v>
          </cell>
        </row>
        <row r="396">
          <cell r="B396" t="str">
            <v>SW6727</v>
          </cell>
        </row>
        <row r="397">
          <cell r="B397" t="str">
            <v>SW6728</v>
          </cell>
        </row>
        <row r="398">
          <cell r="B398" t="str">
            <v>SW6729</v>
          </cell>
        </row>
        <row r="399">
          <cell r="B399" t="str">
            <v>SW6730</v>
          </cell>
        </row>
        <row r="400">
          <cell r="B400" t="str">
            <v>SW6731</v>
          </cell>
        </row>
        <row r="401">
          <cell r="B401" t="str">
            <v>SW6732</v>
          </cell>
        </row>
        <row r="402">
          <cell r="B402" t="str">
            <v>SW6733</v>
          </cell>
        </row>
        <row r="403">
          <cell r="B403" t="str">
            <v>SW6800</v>
          </cell>
        </row>
        <row r="404">
          <cell r="B404" t="str">
            <v>SW6801</v>
          </cell>
        </row>
        <row r="405">
          <cell r="B405" t="str">
            <v>SW6802</v>
          </cell>
        </row>
        <row r="406">
          <cell r="B406" t="str">
            <v>SW6803</v>
          </cell>
        </row>
        <row r="407">
          <cell r="B407" t="str">
            <v>SW6804</v>
          </cell>
        </row>
        <row r="408">
          <cell r="B408" t="str">
            <v>SW6805</v>
          </cell>
        </row>
        <row r="409">
          <cell r="B409" t="str">
            <v>SW6806</v>
          </cell>
        </row>
        <row r="410">
          <cell r="B410" t="str">
            <v>SW6807</v>
          </cell>
        </row>
        <row r="411">
          <cell r="B411" t="str">
            <v>SW6808</v>
          </cell>
        </row>
        <row r="412">
          <cell r="B412" t="str">
            <v>SW6809</v>
          </cell>
        </row>
        <row r="413">
          <cell r="B413" t="str">
            <v>SW6810</v>
          </cell>
        </row>
        <row r="414">
          <cell r="B414" t="str">
            <v>SW6811</v>
          </cell>
        </row>
        <row r="415">
          <cell r="B415" t="str">
            <v>SW6812</v>
          </cell>
        </row>
        <row r="416">
          <cell r="B416" t="str">
            <v>SW6813</v>
          </cell>
        </row>
        <row r="417">
          <cell r="B417" t="str">
            <v>SW6814</v>
          </cell>
        </row>
        <row r="418">
          <cell r="B418" t="str">
            <v>SW6815</v>
          </cell>
        </row>
        <row r="419">
          <cell r="B419" t="str">
            <v>SW6816</v>
          </cell>
        </row>
        <row r="420">
          <cell r="B420" t="str">
            <v>SW6817</v>
          </cell>
        </row>
        <row r="421">
          <cell r="B421" t="str">
            <v>SW6818</v>
          </cell>
        </row>
        <row r="422">
          <cell r="B422" t="str">
            <v>SW6819</v>
          </cell>
        </row>
        <row r="423">
          <cell r="B423" t="str">
            <v>SW6820</v>
          </cell>
        </row>
        <row r="424">
          <cell r="B424" t="str">
            <v>SW6821</v>
          </cell>
        </row>
        <row r="425">
          <cell r="B425" t="str">
            <v>SW6822</v>
          </cell>
        </row>
        <row r="426">
          <cell r="B426" t="str">
            <v>SW6823</v>
          </cell>
        </row>
        <row r="427">
          <cell r="B427" t="str">
            <v>SW6824</v>
          </cell>
        </row>
        <row r="428">
          <cell r="B428" t="str">
            <v>SW6825</v>
          </cell>
        </row>
        <row r="429">
          <cell r="B429" t="str">
            <v>SW6826</v>
          </cell>
        </row>
        <row r="430">
          <cell r="B430" t="str">
            <v>SW6827</v>
          </cell>
        </row>
        <row r="431">
          <cell r="B431" t="str">
            <v>SW6828</v>
          </cell>
        </row>
        <row r="432">
          <cell r="B432" t="str">
            <v>SW6828.001</v>
          </cell>
        </row>
        <row r="433">
          <cell r="B433" t="str">
            <v>SW6829</v>
          </cell>
        </row>
        <row r="434">
          <cell r="B434" t="str">
            <v>SW6830</v>
          </cell>
        </row>
        <row r="435">
          <cell r="B435" t="str">
            <v>SW6831</v>
          </cell>
        </row>
        <row r="436">
          <cell r="B436" t="str">
            <v>SW6832</v>
          </cell>
        </row>
        <row r="437">
          <cell r="B437" t="str">
            <v>SW6833</v>
          </cell>
        </row>
        <row r="438">
          <cell r="B438" t="str">
            <v>SW6834</v>
          </cell>
        </row>
        <row r="439">
          <cell r="B439" t="str">
            <v>SW6835</v>
          </cell>
        </row>
        <row r="440">
          <cell r="B440" t="str">
            <v>SW6900</v>
          </cell>
        </row>
        <row r="441">
          <cell r="B441" t="str">
            <v>SW6901</v>
          </cell>
        </row>
        <row r="442">
          <cell r="B442" t="str">
            <v>SW6902</v>
          </cell>
        </row>
        <row r="443">
          <cell r="B443" t="str">
            <v>SW6903</v>
          </cell>
        </row>
        <row r="444">
          <cell r="B444" t="str">
            <v>SW6904</v>
          </cell>
        </row>
        <row r="445">
          <cell r="B445" t="str">
            <v>SW6905</v>
          </cell>
        </row>
        <row r="446">
          <cell r="B446" t="str">
            <v>SW6906</v>
          </cell>
        </row>
        <row r="447">
          <cell r="B447" t="str">
            <v>SW6907</v>
          </cell>
        </row>
        <row r="448">
          <cell r="B448" t="str">
            <v>SW6908</v>
          </cell>
        </row>
        <row r="449">
          <cell r="B449" t="str">
            <v>SW6910</v>
          </cell>
        </row>
        <row r="450">
          <cell r="B450" t="str">
            <v>SW6911</v>
          </cell>
        </row>
        <row r="451">
          <cell r="B451" t="str">
            <v>SW6912</v>
          </cell>
        </row>
        <row r="452">
          <cell r="B452" t="str">
            <v>SW6913</v>
          </cell>
        </row>
        <row r="453">
          <cell r="B453" t="str">
            <v>SW6914</v>
          </cell>
        </row>
        <row r="454">
          <cell r="B454" t="str">
            <v>SW6915</v>
          </cell>
        </row>
        <row r="455">
          <cell r="B455" t="str">
            <v>SW6916</v>
          </cell>
        </row>
        <row r="456">
          <cell r="B456" t="str">
            <v>SW6917</v>
          </cell>
        </row>
        <row r="457">
          <cell r="B457" t="str">
            <v>SW6918</v>
          </cell>
        </row>
        <row r="458">
          <cell r="B458" t="str">
            <v>SW6919</v>
          </cell>
        </row>
        <row r="459">
          <cell r="B459" t="str">
            <v>SW6920</v>
          </cell>
        </row>
        <row r="460">
          <cell r="B460" t="str">
            <v>SW6921</v>
          </cell>
        </row>
        <row r="461">
          <cell r="B461" t="str">
            <v>SW6922</v>
          </cell>
        </row>
        <row r="462">
          <cell r="B462" t="str">
            <v>SW6923</v>
          </cell>
        </row>
        <row r="463">
          <cell r="B463" t="str">
            <v>SW6924</v>
          </cell>
        </row>
        <row r="464">
          <cell r="B464" t="str">
            <v>SW6925</v>
          </cell>
        </row>
        <row r="465">
          <cell r="B465" t="str">
            <v>SW6926</v>
          </cell>
        </row>
        <row r="466">
          <cell r="B466" t="str">
            <v>SW6927</v>
          </cell>
        </row>
        <row r="467">
          <cell r="B467" t="str">
            <v>SW6928</v>
          </cell>
        </row>
        <row r="468">
          <cell r="B468" t="str">
            <v>SW6929</v>
          </cell>
        </row>
        <row r="469">
          <cell r="B469" t="str">
            <v>SW6930</v>
          </cell>
        </row>
        <row r="470">
          <cell r="B470" t="str">
            <v>SW6931</v>
          </cell>
        </row>
        <row r="471">
          <cell r="B471" t="str">
            <v>SW6932</v>
          </cell>
        </row>
        <row r="472">
          <cell r="B472" t="str">
            <v>SW6933</v>
          </cell>
        </row>
        <row r="473">
          <cell r="B473" t="str">
            <v>SW6934</v>
          </cell>
        </row>
        <row r="474">
          <cell r="B474" t="str">
            <v>SW6935</v>
          </cell>
        </row>
        <row r="475">
          <cell r="B475" t="str">
            <v>SW6936</v>
          </cell>
        </row>
        <row r="476">
          <cell r="B476" t="str">
            <v>SW6937</v>
          </cell>
        </row>
        <row r="477">
          <cell r="B477" t="str">
            <v>SW6938</v>
          </cell>
        </row>
        <row r="478">
          <cell r="B478" t="str">
            <v>SW6939</v>
          </cell>
        </row>
        <row r="479">
          <cell r="B479" t="str">
            <v>SW6940</v>
          </cell>
        </row>
        <row r="480">
          <cell r="B480" t="str">
            <v>SW6941</v>
          </cell>
        </row>
        <row r="481">
          <cell r="B481" t="str">
            <v>SW6942</v>
          </cell>
        </row>
        <row r="482">
          <cell r="B482" t="str">
            <v>SW6943</v>
          </cell>
        </row>
        <row r="483">
          <cell r="B483" t="str">
            <v>SW6944</v>
          </cell>
        </row>
        <row r="484">
          <cell r="B484" t="str">
            <v>SW6945</v>
          </cell>
        </row>
        <row r="485">
          <cell r="B485" t="str">
            <v>SW6946</v>
          </cell>
        </row>
        <row r="486">
          <cell r="B486" t="str">
            <v>SW6947</v>
          </cell>
        </row>
        <row r="487">
          <cell r="B487" t="str">
            <v>SW6948</v>
          </cell>
        </row>
        <row r="488">
          <cell r="B488" t="str">
            <v>SW6949</v>
          </cell>
        </row>
        <row r="489">
          <cell r="B489" t="str">
            <v>SW6950</v>
          </cell>
        </row>
        <row r="490">
          <cell r="B490" t="str">
            <v>SW6951</v>
          </cell>
        </row>
        <row r="491">
          <cell r="B491" t="str">
            <v>SW6952</v>
          </cell>
        </row>
        <row r="492">
          <cell r="B492" t="str">
            <v>SW6953</v>
          </cell>
        </row>
        <row r="493">
          <cell r="B493" t="str">
            <v>SW6954</v>
          </cell>
        </row>
        <row r="494">
          <cell r="B494" t="str">
            <v>SW6955</v>
          </cell>
        </row>
        <row r="495">
          <cell r="B495" t="str">
            <v>SW6956</v>
          </cell>
        </row>
        <row r="496">
          <cell r="B496" t="str">
            <v>SW6957</v>
          </cell>
        </row>
        <row r="497">
          <cell r="B497" t="str">
            <v>SW6958</v>
          </cell>
        </row>
        <row r="498">
          <cell r="B498" t="str">
            <v>SW6959</v>
          </cell>
        </row>
        <row r="499">
          <cell r="B499" t="str">
            <v>SW6960</v>
          </cell>
        </row>
        <row r="500">
          <cell r="B500" t="str">
            <v>SW6961</v>
          </cell>
        </row>
        <row r="501">
          <cell r="B501" t="str">
            <v>SW6962</v>
          </cell>
        </row>
        <row r="502">
          <cell r="B502" t="str">
            <v>SW6963</v>
          </cell>
        </row>
        <row r="503">
          <cell r="B503" t="str">
            <v>SW6964</v>
          </cell>
        </row>
        <row r="504">
          <cell r="B504" t="str">
            <v>SW6965</v>
          </cell>
        </row>
        <row r="505">
          <cell r="B505" t="str">
            <v>SW6966</v>
          </cell>
        </row>
        <row r="506">
          <cell r="B506" t="str">
            <v>SW6967</v>
          </cell>
        </row>
        <row r="507">
          <cell r="B507" t="str">
            <v>SW6968</v>
          </cell>
        </row>
        <row r="508">
          <cell r="B508" t="str">
            <v>SW6969</v>
          </cell>
        </row>
        <row r="509">
          <cell r="B509" t="str">
            <v>SW6970</v>
          </cell>
        </row>
        <row r="510">
          <cell r="B510" t="str">
            <v>SW6971</v>
          </cell>
        </row>
        <row r="511">
          <cell r="B511" t="str">
            <v>SW6972</v>
          </cell>
        </row>
        <row r="512">
          <cell r="B512" t="str">
            <v>SW6973</v>
          </cell>
        </row>
        <row r="513">
          <cell r="B513" t="str">
            <v>SW6974</v>
          </cell>
        </row>
        <row r="514">
          <cell r="B514" t="str">
            <v>SW6975</v>
          </cell>
        </row>
        <row r="515">
          <cell r="B515" t="str">
            <v>UH8001</v>
          </cell>
        </row>
        <row r="516">
          <cell r="B516" t="str">
            <v>UH8002</v>
          </cell>
        </row>
        <row r="517">
          <cell r="B517" t="str">
            <v>UH8003</v>
          </cell>
        </row>
      </sheetData>
      <sheetData sheetId="2">
        <row r="2">
          <cell r="A2" t="str">
            <v>NE4001</v>
          </cell>
        </row>
      </sheetData>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Log"/>
      <sheetName val="Source Data"/>
      <sheetName val="IM Risk Score Per Pipeline"/>
      <sheetName val="IM System Name"/>
      <sheetName val="Pivot Analysis"/>
      <sheetName val="Pivot $ per Year"/>
      <sheetName val="Directions"/>
      <sheetName val="Pivot Division Capital"/>
    </sheetNames>
    <sheetDataSet>
      <sheetData sheetId="0"/>
      <sheetData sheetId="1">
        <row r="21">
          <cell r="B21">
            <v>2013</v>
          </cell>
        </row>
        <row r="47">
          <cell r="B47" t="str">
            <v>ALL</v>
          </cell>
        </row>
        <row r="48">
          <cell r="B48" t="str">
            <v>VEDN</v>
          </cell>
        </row>
        <row r="49">
          <cell r="B49" t="str">
            <v>VEDS</v>
          </cell>
        </row>
        <row r="50">
          <cell r="B50" t="str">
            <v>VAUI</v>
          </cell>
        </row>
        <row r="51">
          <cell r="B51" t="str">
            <v>VEDO</v>
          </cell>
        </row>
        <row r="54">
          <cell r="B54" t="str">
            <v>ALL</v>
          </cell>
        </row>
        <row r="55">
          <cell r="B55" t="str">
            <v>NE4001</v>
          </cell>
        </row>
        <row r="56">
          <cell r="B56" t="str">
            <v>NE4002</v>
          </cell>
        </row>
        <row r="57">
          <cell r="B57" t="str">
            <v>NE4003</v>
          </cell>
        </row>
        <row r="58">
          <cell r="B58" t="str">
            <v>NE4004</v>
          </cell>
        </row>
        <row r="59">
          <cell r="B59" t="str">
            <v>NE4005</v>
          </cell>
        </row>
        <row r="60">
          <cell r="B60" t="str">
            <v>NE4006</v>
          </cell>
        </row>
        <row r="61">
          <cell r="B61" t="str">
            <v>NE4007</v>
          </cell>
        </row>
        <row r="62">
          <cell r="B62" t="str">
            <v>NE4008</v>
          </cell>
        </row>
        <row r="63">
          <cell r="B63" t="str">
            <v>NE4009</v>
          </cell>
        </row>
        <row r="64">
          <cell r="B64" t="str">
            <v>NE4010</v>
          </cell>
        </row>
        <row r="65">
          <cell r="B65" t="str">
            <v>NE4012</v>
          </cell>
        </row>
        <row r="66">
          <cell r="B66" t="str">
            <v>NE4013</v>
          </cell>
        </row>
        <row r="67">
          <cell r="B67" t="str">
            <v>NE4014</v>
          </cell>
        </row>
        <row r="68">
          <cell r="B68" t="str">
            <v>NE4015</v>
          </cell>
        </row>
        <row r="69">
          <cell r="B69" t="str">
            <v>NE4016</v>
          </cell>
        </row>
        <row r="70">
          <cell r="B70" t="str">
            <v>NE4017</v>
          </cell>
        </row>
        <row r="71">
          <cell r="B71" t="str">
            <v>NE4018</v>
          </cell>
        </row>
        <row r="72">
          <cell r="B72" t="str">
            <v>NE4019</v>
          </cell>
        </row>
        <row r="73">
          <cell r="B73" t="str">
            <v>NE4020</v>
          </cell>
        </row>
        <row r="74">
          <cell r="B74" t="str">
            <v>NE4021</v>
          </cell>
        </row>
        <row r="75">
          <cell r="B75" t="str">
            <v>NE4022</v>
          </cell>
        </row>
        <row r="76">
          <cell r="B76" t="str">
            <v>NE4023</v>
          </cell>
        </row>
        <row r="77">
          <cell r="B77" t="str">
            <v>NE4024</v>
          </cell>
        </row>
        <row r="78">
          <cell r="B78" t="str">
            <v>NE4025</v>
          </cell>
        </row>
        <row r="79">
          <cell r="B79" t="str">
            <v>NE4027</v>
          </cell>
        </row>
        <row r="80">
          <cell r="B80" t="str">
            <v>NE4028</v>
          </cell>
        </row>
        <row r="81">
          <cell r="B81" t="str">
            <v>NE4029</v>
          </cell>
        </row>
        <row r="82">
          <cell r="B82" t="str">
            <v>NE4030</v>
          </cell>
        </row>
        <row r="83">
          <cell r="B83" t="str">
            <v>NE4031</v>
          </cell>
        </row>
        <row r="84">
          <cell r="B84" t="str">
            <v>NE4032</v>
          </cell>
        </row>
        <row r="85">
          <cell r="B85" t="str">
            <v>NE4033</v>
          </cell>
        </row>
        <row r="86">
          <cell r="B86" t="str">
            <v>NS5001</v>
          </cell>
        </row>
        <row r="87">
          <cell r="B87" t="str">
            <v>NS5002</v>
          </cell>
        </row>
        <row r="88">
          <cell r="B88" t="str">
            <v>NS5003</v>
          </cell>
        </row>
        <row r="89">
          <cell r="B89" t="str">
            <v>NS5004</v>
          </cell>
        </row>
        <row r="90">
          <cell r="B90" t="str">
            <v>NS5005</v>
          </cell>
        </row>
        <row r="91">
          <cell r="B91" t="str">
            <v>NS5006</v>
          </cell>
        </row>
        <row r="92">
          <cell r="B92" t="str">
            <v>NS5007</v>
          </cell>
        </row>
        <row r="93">
          <cell r="B93" t="str">
            <v>NS5008</v>
          </cell>
        </row>
        <row r="94">
          <cell r="B94" t="str">
            <v>NS5009</v>
          </cell>
        </row>
        <row r="95">
          <cell r="B95" t="str">
            <v>NS5010</v>
          </cell>
        </row>
        <row r="96">
          <cell r="B96" t="str">
            <v>NS5011</v>
          </cell>
        </row>
        <row r="97">
          <cell r="B97" t="str">
            <v>NS5012</v>
          </cell>
        </row>
        <row r="98">
          <cell r="B98" t="str">
            <v>NS5013</v>
          </cell>
        </row>
        <row r="99">
          <cell r="B99" t="str">
            <v>NS5014</v>
          </cell>
        </row>
        <row r="100">
          <cell r="B100" t="str">
            <v>NS5015</v>
          </cell>
        </row>
        <row r="101">
          <cell r="B101" t="str">
            <v>NS5016</v>
          </cell>
        </row>
        <row r="102">
          <cell r="B102" t="str">
            <v>NS5017</v>
          </cell>
        </row>
        <row r="103">
          <cell r="B103" t="str">
            <v>NS5050</v>
          </cell>
        </row>
        <row r="104">
          <cell r="B104" t="str">
            <v>NS5051</v>
          </cell>
        </row>
        <row r="105">
          <cell r="B105" t="str">
            <v>NS5052</v>
          </cell>
        </row>
        <row r="106">
          <cell r="B106" t="str">
            <v>NS5053</v>
          </cell>
        </row>
        <row r="107">
          <cell r="B107" t="str">
            <v>NS5054</v>
          </cell>
        </row>
        <row r="108">
          <cell r="B108" t="str">
            <v>NS5055</v>
          </cell>
        </row>
        <row r="109">
          <cell r="B109" t="str">
            <v>NS5056</v>
          </cell>
        </row>
        <row r="110">
          <cell r="B110" t="str">
            <v>NS5057</v>
          </cell>
        </row>
        <row r="111">
          <cell r="B111" t="str">
            <v>NS5058</v>
          </cell>
        </row>
        <row r="112">
          <cell r="B112" t="str">
            <v>NS5059</v>
          </cell>
        </row>
        <row r="113">
          <cell r="B113" t="str">
            <v>NS5060</v>
          </cell>
        </row>
        <row r="114">
          <cell r="B114" t="str">
            <v>NS5061</v>
          </cell>
        </row>
        <row r="115">
          <cell r="B115" t="str">
            <v>NS5120</v>
          </cell>
        </row>
        <row r="116">
          <cell r="B116" t="str">
            <v>NS5140</v>
          </cell>
        </row>
        <row r="117">
          <cell r="B117" t="str">
            <v>NS5141</v>
          </cell>
        </row>
        <row r="118">
          <cell r="B118" t="str">
            <v>NS5142</v>
          </cell>
        </row>
        <row r="119">
          <cell r="B119" t="str">
            <v>NS5143</v>
          </cell>
        </row>
        <row r="120">
          <cell r="B120" t="str">
            <v>NS5144</v>
          </cell>
        </row>
        <row r="121">
          <cell r="B121" t="str">
            <v>NS5145</v>
          </cell>
        </row>
        <row r="122">
          <cell r="B122" t="str">
            <v>NS5146</v>
          </cell>
        </row>
        <row r="123">
          <cell r="B123" t="str">
            <v>NS5147</v>
          </cell>
        </row>
        <row r="124">
          <cell r="B124" t="str">
            <v>NS5148</v>
          </cell>
        </row>
        <row r="125">
          <cell r="B125" t="str">
            <v>NS5149</v>
          </cell>
        </row>
        <row r="126">
          <cell r="B126" t="str">
            <v>NS5150</v>
          </cell>
        </row>
        <row r="127">
          <cell r="B127" t="str">
            <v>NS5700</v>
          </cell>
        </row>
        <row r="128">
          <cell r="B128" t="str">
            <v>NS5701</v>
          </cell>
        </row>
        <row r="129">
          <cell r="B129" t="str">
            <v>NS5702</v>
          </cell>
        </row>
        <row r="130">
          <cell r="B130" t="str">
            <v>NS5703</v>
          </cell>
        </row>
        <row r="131">
          <cell r="B131" t="str">
            <v>NS5704</v>
          </cell>
        </row>
        <row r="132">
          <cell r="B132" t="str">
            <v>NS5705</v>
          </cell>
        </row>
        <row r="133">
          <cell r="B133" t="str">
            <v>NS5706</v>
          </cell>
        </row>
        <row r="134">
          <cell r="B134" t="str">
            <v>NS5707</v>
          </cell>
        </row>
        <row r="135">
          <cell r="B135" t="str">
            <v>NS5708</v>
          </cell>
        </row>
        <row r="136">
          <cell r="B136" t="str">
            <v>NS5709</v>
          </cell>
        </row>
        <row r="137">
          <cell r="B137" t="str">
            <v>NS5710</v>
          </cell>
        </row>
        <row r="138">
          <cell r="B138" t="str">
            <v>NS5711</v>
          </cell>
        </row>
        <row r="139">
          <cell r="B139" t="str">
            <v>NS5712</v>
          </cell>
        </row>
        <row r="140">
          <cell r="B140" t="str">
            <v>NS5713</v>
          </cell>
        </row>
        <row r="141">
          <cell r="B141" t="str">
            <v>NS5714</v>
          </cell>
        </row>
        <row r="142">
          <cell r="B142" t="str">
            <v>NS5715</v>
          </cell>
        </row>
        <row r="143">
          <cell r="B143" t="str">
            <v>NS5716</v>
          </cell>
        </row>
        <row r="144">
          <cell r="B144" t="str">
            <v>NS5717</v>
          </cell>
        </row>
        <row r="145">
          <cell r="B145" t="str">
            <v>NS5718</v>
          </cell>
        </row>
        <row r="146">
          <cell r="B146" t="str">
            <v>NS5719</v>
          </cell>
        </row>
        <row r="147">
          <cell r="B147" t="str">
            <v>NS5720</v>
          </cell>
        </row>
        <row r="148">
          <cell r="B148" t="str">
            <v>NS5721</v>
          </cell>
        </row>
        <row r="149">
          <cell r="B149" t="str">
            <v>NS5750</v>
          </cell>
        </row>
        <row r="150">
          <cell r="B150" t="str">
            <v>NS5751</v>
          </cell>
        </row>
        <row r="151">
          <cell r="B151" t="str">
            <v>NS5752</v>
          </cell>
        </row>
        <row r="152">
          <cell r="B152" t="str">
            <v>NS5753</v>
          </cell>
        </row>
        <row r="153">
          <cell r="B153" t="str">
            <v>NS5754</v>
          </cell>
        </row>
        <row r="154">
          <cell r="B154" t="str">
            <v>NS5755</v>
          </cell>
        </row>
        <row r="155">
          <cell r="B155" t="str">
            <v>NS5756</v>
          </cell>
        </row>
        <row r="156">
          <cell r="B156" t="str">
            <v>NS5757</v>
          </cell>
        </row>
        <row r="157">
          <cell r="B157" t="str">
            <v>NS5758</v>
          </cell>
        </row>
        <row r="158">
          <cell r="B158" t="str">
            <v>NS5759</v>
          </cell>
        </row>
        <row r="159">
          <cell r="B159" t="str">
            <v>NS5760</v>
          </cell>
        </row>
        <row r="160">
          <cell r="B160" t="str">
            <v>NS5761</v>
          </cell>
        </row>
        <row r="161">
          <cell r="B161" t="str">
            <v>NS5762</v>
          </cell>
        </row>
        <row r="162">
          <cell r="B162" t="str">
            <v>NS5763</v>
          </cell>
        </row>
        <row r="163">
          <cell r="B163" t="str">
            <v>NS5764</v>
          </cell>
        </row>
        <row r="164">
          <cell r="B164" t="str">
            <v>NS5802</v>
          </cell>
        </row>
        <row r="165">
          <cell r="B165" t="str">
            <v>NS5803</v>
          </cell>
        </row>
        <row r="166">
          <cell r="B166" t="str">
            <v>NS5805</v>
          </cell>
        </row>
        <row r="167">
          <cell r="B167" t="str">
            <v>NS5806</v>
          </cell>
        </row>
        <row r="168">
          <cell r="B168" t="str">
            <v>NS5807</v>
          </cell>
        </row>
        <row r="169">
          <cell r="B169" t="str">
            <v>NS5808</v>
          </cell>
        </row>
        <row r="170">
          <cell r="B170" t="str">
            <v>NS5809</v>
          </cell>
        </row>
        <row r="171">
          <cell r="B171" t="str">
            <v>NS5810</v>
          </cell>
        </row>
        <row r="172">
          <cell r="B172" t="str">
            <v>NS5811</v>
          </cell>
        </row>
        <row r="173">
          <cell r="B173" t="str">
            <v>NS5812</v>
          </cell>
        </row>
        <row r="174">
          <cell r="B174" t="str">
            <v>NS5813</v>
          </cell>
        </row>
        <row r="175">
          <cell r="B175" t="str">
            <v>NS5814</v>
          </cell>
        </row>
        <row r="176">
          <cell r="B176" t="str">
            <v>NS5815</v>
          </cell>
        </row>
        <row r="177">
          <cell r="B177" t="str">
            <v>NS5816</v>
          </cell>
        </row>
        <row r="178">
          <cell r="B178" t="str">
            <v>NS5817</v>
          </cell>
        </row>
        <row r="179">
          <cell r="B179" t="str">
            <v>NS5818</v>
          </cell>
        </row>
        <row r="180">
          <cell r="B180" t="str">
            <v>NS5819</v>
          </cell>
        </row>
        <row r="181">
          <cell r="B181" t="str">
            <v>NS5820</v>
          </cell>
        </row>
        <row r="182">
          <cell r="B182" t="str">
            <v>NS5821</v>
          </cell>
        </row>
        <row r="183">
          <cell r="B183" t="str">
            <v>NS5822</v>
          </cell>
        </row>
        <row r="184">
          <cell r="B184" t="str">
            <v>NS5823</v>
          </cell>
        </row>
        <row r="185">
          <cell r="B185" t="str">
            <v>NS5824</v>
          </cell>
        </row>
        <row r="186">
          <cell r="B186" t="str">
            <v>NS5825</v>
          </cell>
        </row>
        <row r="187">
          <cell r="B187" t="str">
            <v>NS5826</v>
          </cell>
        </row>
        <row r="188">
          <cell r="B188" t="str">
            <v>NS5827</v>
          </cell>
        </row>
        <row r="189">
          <cell r="B189" t="str">
            <v>NS5828</v>
          </cell>
        </row>
        <row r="190">
          <cell r="B190" t="str">
            <v>NS5829</v>
          </cell>
        </row>
        <row r="191">
          <cell r="B191" t="str">
            <v>NS5830</v>
          </cell>
        </row>
        <row r="192">
          <cell r="B192" t="str">
            <v>NS5831</v>
          </cell>
        </row>
        <row r="193">
          <cell r="B193" t="str">
            <v>NS5832</v>
          </cell>
        </row>
        <row r="194">
          <cell r="B194" t="str">
            <v>NS5833</v>
          </cell>
        </row>
        <row r="195">
          <cell r="B195" t="str">
            <v>NS5834</v>
          </cell>
        </row>
        <row r="196">
          <cell r="B196" t="str">
            <v>NS5835</v>
          </cell>
        </row>
        <row r="197">
          <cell r="B197" t="str">
            <v>NS5836</v>
          </cell>
        </row>
        <row r="198">
          <cell r="B198" t="str">
            <v>NS5837</v>
          </cell>
        </row>
        <row r="199">
          <cell r="B199" t="str">
            <v>NS5838</v>
          </cell>
        </row>
        <row r="200">
          <cell r="B200" t="str">
            <v>NS5839</v>
          </cell>
        </row>
        <row r="201">
          <cell r="B201" t="str">
            <v>NS5840</v>
          </cell>
        </row>
        <row r="202">
          <cell r="B202" t="str">
            <v>NS5841</v>
          </cell>
        </row>
        <row r="203">
          <cell r="B203" t="str">
            <v>NS5842</v>
          </cell>
        </row>
        <row r="204">
          <cell r="B204" t="str">
            <v>NS5843</v>
          </cell>
        </row>
        <row r="205">
          <cell r="B205" t="str">
            <v>NS5844</v>
          </cell>
        </row>
        <row r="206">
          <cell r="B206" t="str">
            <v>NS5845</v>
          </cell>
        </row>
        <row r="207">
          <cell r="B207" t="str">
            <v>NS5846</v>
          </cell>
        </row>
        <row r="208">
          <cell r="B208" t="str">
            <v>NS5847</v>
          </cell>
        </row>
        <row r="209">
          <cell r="B209" t="str">
            <v>NS5848</v>
          </cell>
        </row>
        <row r="210">
          <cell r="B210" t="str">
            <v>NS5849</v>
          </cell>
        </row>
        <row r="211">
          <cell r="B211" t="str">
            <v>NS5850</v>
          </cell>
        </row>
        <row r="212">
          <cell r="B212" t="str">
            <v>NS5851</v>
          </cell>
        </row>
        <row r="213">
          <cell r="B213" t="str">
            <v>NS5852</v>
          </cell>
        </row>
        <row r="214">
          <cell r="B214" t="str">
            <v>NS5853</v>
          </cell>
        </row>
        <row r="215">
          <cell r="B215" t="str">
            <v>NS5854</v>
          </cell>
        </row>
        <row r="216">
          <cell r="B216" t="str">
            <v>NS5855</v>
          </cell>
        </row>
        <row r="217">
          <cell r="B217" t="str">
            <v>NS5856</v>
          </cell>
        </row>
        <row r="218">
          <cell r="B218" t="str">
            <v>NS5857</v>
          </cell>
        </row>
        <row r="219">
          <cell r="B219" t="str">
            <v>NS5858</v>
          </cell>
        </row>
        <row r="220">
          <cell r="B220" t="str">
            <v>NS5859</v>
          </cell>
        </row>
        <row r="221">
          <cell r="B221" t="str">
            <v>NS5860</v>
          </cell>
        </row>
        <row r="222">
          <cell r="B222" t="str">
            <v>NS5861</v>
          </cell>
        </row>
        <row r="223">
          <cell r="B223" t="str">
            <v>NS5862</v>
          </cell>
        </row>
        <row r="224">
          <cell r="B224" t="str">
            <v>NS5863</v>
          </cell>
        </row>
        <row r="225">
          <cell r="B225" t="str">
            <v>NS5864</v>
          </cell>
        </row>
        <row r="226">
          <cell r="B226" t="str">
            <v>NS5865</v>
          </cell>
        </row>
        <row r="227">
          <cell r="B227" t="str">
            <v>NS5866</v>
          </cell>
        </row>
        <row r="228">
          <cell r="B228" t="str">
            <v>NS5867</v>
          </cell>
        </row>
        <row r="229">
          <cell r="B229" t="str">
            <v>NS5868</v>
          </cell>
        </row>
        <row r="230">
          <cell r="B230" t="str">
            <v>NS5869</v>
          </cell>
        </row>
        <row r="231">
          <cell r="B231" t="str">
            <v>NS5870</v>
          </cell>
        </row>
        <row r="232">
          <cell r="B232" t="str">
            <v>NS5871</v>
          </cell>
        </row>
        <row r="233">
          <cell r="B233" t="str">
            <v>NS5872</v>
          </cell>
        </row>
        <row r="234">
          <cell r="B234" t="str">
            <v>NS5873</v>
          </cell>
        </row>
        <row r="235">
          <cell r="B235" t="str">
            <v>NW3001</v>
          </cell>
        </row>
        <row r="236">
          <cell r="B236" t="str">
            <v>NW3002</v>
          </cell>
        </row>
        <row r="237">
          <cell r="B237" t="str">
            <v>NW3003</v>
          </cell>
        </row>
        <row r="238">
          <cell r="B238" t="str">
            <v>NW3004</v>
          </cell>
        </row>
        <row r="239">
          <cell r="B239" t="str">
            <v>NW3005</v>
          </cell>
        </row>
        <row r="240">
          <cell r="B240" t="str">
            <v>NW3100</v>
          </cell>
        </row>
        <row r="241">
          <cell r="B241" t="str">
            <v>NW3101</v>
          </cell>
        </row>
        <row r="242">
          <cell r="B242" t="str">
            <v>NW3102</v>
          </cell>
        </row>
        <row r="243">
          <cell r="B243" t="str">
            <v>NW3103</v>
          </cell>
        </row>
        <row r="244">
          <cell r="B244" t="str">
            <v>NW3104</v>
          </cell>
        </row>
        <row r="245">
          <cell r="B245" t="str">
            <v>NW3105</v>
          </cell>
        </row>
        <row r="246">
          <cell r="B246" t="str">
            <v>NW3106</v>
          </cell>
        </row>
        <row r="247">
          <cell r="B247" t="str">
            <v>NW3106.001</v>
          </cell>
        </row>
        <row r="248">
          <cell r="B248" t="str">
            <v>NW3107</v>
          </cell>
        </row>
        <row r="249">
          <cell r="B249" t="str">
            <v>NW3108</v>
          </cell>
        </row>
        <row r="250">
          <cell r="B250" t="str">
            <v>NW3109</v>
          </cell>
        </row>
        <row r="251">
          <cell r="B251" t="str">
            <v>NW3109.001</v>
          </cell>
        </row>
        <row r="252">
          <cell r="B252" t="str">
            <v>NW3110</v>
          </cell>
        </row>
        <row r="253">
          <cell r="B253" t="str">
            <v>NW3110.001</v>
          </cell>
        </row>
        <row r="254">
          <cell r="B254" t="str">
            <v>NW3110.002</v>
          </cell>
        </row>
        <row r="255">
          <cell r="B255" t="str">
            <v>NW3110.003</v>
          </cell>
        </row>
        <row r="256">
          <cell r="B256" t="str">
            <v>NW3111</v>
          </cell>
        </row>
        <row r="257">
          <cell r="B257" t="str">
            <v>NW3112</v>
          </cell>
        </row>
        <row r="258">
          <cell r="B258" t="str">
            <v>NW3113</v>
          </cell>
        </row>
        <row r="259">
          <cell r="B259" t="str">
            <v>NW3114</v>
          </cell>
        </row>
        <row r="260">
          <cell r="B260" t="str">
            <v>NW3115</v>
          </cell>
        </row>
        <row r="261">
          <cell r="B261" t="str">
            <v>NW3116</v>
          </cell>
        </row>
        <row r="262">
          <cell r="B262" t="str">
            <v>NW3117</v>
          </cell>
        </row>
        <row r="263">
          <cell r="B263" t="str">
            <v>NW3118</v>
          </cell>
        </row>
        <row r="264">
          <cell r="B264" t="str">
            <v>NW3119</v>
          </cell>
        </row>
        <row r="265">
          <cell r="B265" t="str">
            <v>NW3120</v>
          </cell>
        </row>
        <row r="266">
          <cell r="B266" t="str">
            <v>NW3121</v>
          </cell>
        </row>
        <row r="267">
          <cell r="B267" t="str">
            <v>NW3122</v>
          </cell>
        </row>
        <row r="268">
          <cell r="B268" t="str">
            <v>NW3124</v>
          </cell>
        </row>
        <row r="269">
          <cell r="B269" t="str">
            <v>NW3125</v>
          </cell>
        </row>
        <row r="270">
          <cell r="B270" t="str">
            <v>NW3126</v>
          </cell>
        </row>
        <row r="271">
          <cell r="B271" t="str">
            <v>NW3127</v>
          </cell>
        </row>
        <row r="272">
          <cell r="B272" t="str">
            <v>NW3128</v>
          </cell>
        </row>
        <row r="273">
          <cell r="B273" t="str">
            <v>NW3128.001</v>
          </cell>
        </row>
        <row r="274">
          <cell r="B274" t="str">
            <v>NW3128.002</v>
          </cell>
        </row>
        <row r="275">
          <cell r="B275" t="str">
            <v>NW3129</v>
          </cell>
        </row>
        <row r="276">
          <cell r="B276" t="str">
            <v>NW3800</v>
          </cell>
        </row>
        <row r="277">
          <cell r="B277" t="str">
            <v>NW3801</v>
          </cell>
        </row>
        <row r="278">
          <cell r="B278" t="str">
            <v>NW3802</v>
          </cell>
        </row>
        <row r="279">
          <cell r="B279" t="str">
            <v>NW3803</v>
          </cell>
        </row>
        <row r="280">
          <cell r="B280" t="str">
            <v>NW3804</v>
          </cell>
        </row>
        <row r="281">
          <cell r="B281" t="str">
            <v>NW3805</v>
          </cell>
        </row>
        <row r="282">
          <cell r="B282" t="str">
            <v>NW3806</v>
          </cell>
        </row>
        <row r="283">
          <cell r="B283" t="str">
            <v>NW3807</v>
          </cell>
        </row>
        <row r="284">
          <cell r="B284" t="str">
            <v>NW3808</v>
          </cell>
        </row>
        <row r="285">
          <cell r="B285" t="str">
            <v>NW3809</v>
          </cell>
        </row>
        <row r="286">
          <cell r="B286" t="str">
            <v>NW3810</v>
          </cell>
        </row>
        <row r="287">
          <cell r="B287" t="str">
            <v>NW3811</v>
          </cell>
        </row>
        <row r="288">
          <cell r="B288" t="str">
            <v>NW3812</v>
          </cell>
        </row>
        <row r="289">
          <cell r="B289" t="str">
            <v>NW3813</v>
          </cell>
        </row>
        <row r="290">
          <cell r="B290" t="str">
            <v>NW3814</v>
          </cell>
        </row>
        <row r="291">
          <cell r="B291" t="str">
            <v>NW3815</v>
          </cell>
        </row>
        <row r="292">
          <cell r="B292" t="str">
            <v>NW3816</v>
          </cell>
        </row>
        <row r="293">
          <cell r="B293" t="str">
            <v>NW3817</v>
          </cell>
        </row>
        <row r="294">
          <cell r="B294" t="str">
            <v>NW3818</v>
          </cell>
        </row>
        <row r="295">
          <cell r="B295" t="str">
            <v>NW3819</v>
          </cell>
        </row>
        <row r="296">
          <cell r="B296" t="str">
            <v>NW3820</v>
          </cell>
        </row>
        <row r="297">
          <cell r="B297" t="str">
            <v>NW3821</v>
          </cell>
        </row>
        <row r="298">
          <cell r="B298" t="str">
            <v>NW3822</v>
          </cell>
        </row>
        <row r="299">
          <cell r="B299" t="str">
            <v>NW3823</v>
          </cell>
        </row>
        <row r="300">
          <cell r="B300" t="str">
            <v>NW3824</v>
          </cell>
        </row>
        <row r="301">
          <cell r="B301" t="str">
            <v>NW3825</v>
          </cell>
        </row>
        <row r="302">
          <cell r="B302" t="str">
            <v>NW3826</v>
          </cell>
        </row>
        <row r="303">
          <cell r="B303" t="str">
            <v>NW3827</v>
          </cell>
        </row>
        <row r="304">
          <cell r="B304" t="str">
            <v>NW3828</v>
          </cell>
        </row>
        <row r="305">
          <cell r="B305" t="str">
            <v>NW3829</v>
          </cell>
        </row>
        <row r="306">
          <cell r="B306" t="str">
            <v>NW3830</v>
          </cell>
        </row>
        <row r="307">
          <cell r="B307" t="str">
            <v>NW3831</v>
          </cell>
        </row>
        <row r="308">
          <cell r="B308" t="str">
            <v>NW3832</v>
          </cell>
        </row>
        <row r="309">
          <cell r="B309" t="str">
            <v>NW3833</v>
          </cell>
        </row>
        <row r="310">
          <cell r="B310" t="str">
            <v>NW3834</v>
          </cell>
        </row>
        <row r="311">
          <cell r="B311" t="str">
            <v>NW3835</v>
          </cell>
        </row>
        <row r="312">
          <cell r="B312" t="str">
            <v>NW3836</v>
          </cell>
        </row>
        <row r="313">
          <cell r="B313" t="str">
            <v>NW3837</v>
          </cell>
        </row>
        <row r="314">
          <cell r="B314" t="str">
            <v>NW3838</v>
          </cell>
        </row>
        <row r="315">
          <cell r="B315" t="str">
            <v>NW3839</v>
          </cell>
        </row>
        <row r="316">
          <cell r="B316" t="str">
            <v>NW3840</v>
          </cell>
        </row>
        <row r="317">
          <cell r="B317" t="str">
            <v>NW3841</v>
          </cell>
        </row>
        <row r="318">
          <cell r="B318" t="str">
            <v>NW3842</v>
          </cell>
        </row>
        <row r="319">
          <cell r="B319" t="str">
            <v>NW3843</v>
          </cell>
        </row>
        <row r="320">
          <cell r="B320" t="str">
            <v>NW3844</v>
          </cell>
        </row>
        <row r="321">
          <cell r="B321" t="str">
            <v>NW3845</v>
          </cell>
        </row>
        <row r="322">
          <cell r="B322" t="str">
            <v>NW3846</v>
          </cell>
        </row>
        <row r="323">
          <cell r="B323" t="str">
            <v>NW3847</v>
          </cell>
        </row>
        <row r="324">
          <cell r="B324" t="str">
            <v>OGA000</v>
          </cell>
        </row>
        <row r="325">
          <cell r="B325" t="str">
            <v>OGA077</v>
          </cell>
        </row>
        <row r="326">
          <cell r="B326" t="str">
            <v>OGA080</v>
          </cell>
        </row>
        <row r="327">
          <cell r="B327" t="str">
            <v>OGA097</v>
          </cell>
        </row>
        <row r="328">
          <cell r="B328" t="str">
            <v>OGA115</v>
          </cell>
        </row>
        <row r="329">
          <cell r="B329" t="str">
            <v>OGA116</v>
          </cell>
        </row>
        <row r="330">
          <cell r="B330" t="str">
            <v>OGA145</v>
          </cell>
        </row>
        <row r="331">
          <cell r="B331" t="str">
            <v>OGA161</v>
          </cell>
        </row>
        <row r="332">
          <cell r="B332" t="str">
            <v>OGZ036</v>
          </cell>
        </row>
        <row r="333">
          <cell r="B333" t="str">
            <v>OGZ036.001</v>
          </cell>
        </row>
        <row r="334">
          <cell r="B334" t="str">
            <v>OGZ038</v>
          </cell>
        </row>
        <row r="335">
          <cell r="B335" t="str">
            <v>OGZ050E</v>
          </cell>
        </row>
        <row r="336">
          <cell r="B336" t="str">
            <v>OGZ050W</v>
          </cell>
        </row>
        <row r="337">
          <cell r="B337" t="str">
            <v>OGZ051</v>
          </cell>
        </row>
        <row r="338">
          <cell r="B338" t="str">
            <v>OGZ167M</v>
          </cell>
        </row>
        <row r="339">
          <cell r="B339" t="str">
            <v>OGZ167N</v>
          </cell>
        </row>
        <row r="340">
          <cell r="B340" t="str">
            <v>OGZ167S</v>
          </cell>
        </row>
        <row r="341">
          <cell r="B341" t="str">
            <v>OGZ171</v>
          </cell>
        </row>
        <row r="342">
          <cell r="B342" t="str">
            <v>OGZ270</v>
          </cell>
        </row>
        <row r="343">
          <cell r="B343" t="str">
            <v>OGZ550W</v>
          </cell>
        </row>
        <row r="344">
          <cell r="B344" t="str">
            <v>SW6001</v>
          </cell>
        </row>
        <row r="345">
          <cell r="B345" t="str">
            <v>SW6002</v>
          </cell>
        </row>
        <row r="346">
          <cell r="B346" t="str">
            <v>SW6003</v>
          </cell>
        </row>
        <row r="347">
          <cell r="B347" t="str">
            <v>SW6004</v>
          </cell>
        </row>
        <row r="348">
          <cell r="B348" t="str">
            <v>SW6005</v>
          </cell>
        </row>
        <row r="349">
          <cell r="B349" t="str">
            <v>SW6006</v>
          </cell>
        </row>
        <row r="350">
          <cell r="B350" t="str">
            <v>SW6007</v>
          </cell>
        </row>
        <row r="351">
          <cell r="B351" t="str">
            <v>SW6069</v>
          </cell>
        </row>
        <row r="352">
          <cell r="B352" t="str">
            <v>SW6070</v>
          </cell>
        </row>
        <row r="353">
          <cell r="B353" t="str">
            <v>SW6071</v>
          </cell>
        </row>
        <row r="354">
          <cell r="B354" t="str">
            <v>SW6072</v>
          </cell>
        </row>
        <row r="355">
          <cell r="B355" t="str">
            <v>SW6073</v>
          </cell>
        </row>
        <row r="356">
          <cell r="B356" t="str">
            <v>SW6074</v>
          </cell>
        </row>
        <row r="357">
          <cell r="B357" t="str">
            <v>SW6075</v>
          </cell>
        </row>
        <row r="358">
          <cell r="B358" t="str">
            <v>SW6076</v>
          </cell>
        </row>
        <row r="359">
          <cell r="B359" t="str">
            <v>SW6077</v>
          </cell>
        </row>
        <row r="360">
          <cell r="B360" t="str">
            <v>SW6078</v>
          </cell>
        </row>
        <row r="361">
          <cell r="B361" t="str">
            <v>SW6079</v>
          </cell>
        </row>
        <row r="362">
          <cell r="B362" t="str">
            <v>SW6121</v>
          </cell>
        </row>
        <row r="363">
          <cell r="B363" t="str">
            <v>SW6122</v>
          </cell>
        </row>
        <row r="364">
          <cell r="B364" t="str">
            <v>SW6123</v>
          </cell>
        </row>
        <row r="365">
          <cell r="B365" t="str">
            <v>SW6124</v>
          </cell>
        </row>
        <row r="366">
          <cell r="B366" t="str">
            <v>SW6155</v>
          </cell>
        </row>
        <row r="367">
          <cell r="B367" t="str">
            <v>SW6156</v>
          </cell>
        </row>
        <row r="368">
          <cell r="B368" t="str">
            <v>SW6157</v>
          </cell>
        </row>
        <row r="369">
          <cell r="B369" t="str">
            <v>SW6158</v>
          </cell>
        </row>
        <row r="370">
          <cell r="B370" t="str">
            <v>SW6700</v>
          </cell>
        </row>
        <row r="371">
          <cell r="B371" t="str">
            <v>SW6701</v>
          </cell>
        </row>
        <row r="372">
          <cell r="B372" t="str">
            <v>SW6702</v>
          </cell>
        </row>
        <row r="373">
          <cell r="B373" t="str">
            <v>SW6703</v>
          </cell>
        </row>
        <row r="374">
          <cell r="B374" t="str">
            <v>SW6704</v>
          </cell>
        </row>
        <row r="375">
          <cell r="B375" t="str">
            <v>SW6705</v>
          </cell>
        </row>
        <row r="376">
          <cell r="B376" t="str">
            <v>SW6706</v>
          </cell>
        </row>
        <row r="377">
          <cell r="B377" t="str">
            <v>SW6707</v>
          </cell>
        </row>
        <row r="378">
          <cell r="B378" t="str">
            <v>SW6708</v>
          </cell>
        </row>
        <row r="379">
          <cell r="B379" t="str">
            <v>SW6709</v>
          </cell>
        </row>
        <row r="380">
          <cell r="B380" t="str">
            <v>SW6710</v>
          </cell>
        </row>
        <row r="381">
          <cell r="B381" t="str">
            <v>SW6711</v>
          </cell>
        </row>
        <row r="382">
          <cell r="B382" t="str">
            <v>SW6712</v>
          </cell>
        </row>
        <row r="383">
          <cell r="B383" t="str">
            <v>SW6713</v>
          </cell>
        </row>
        <row r="384">
          <cell r="B384" t="str">
            <v>SW6714</v>
          </cell>
        </row>
        <row r="385">
          <cell r="B385" t="str">
            <v>SW6715</v>
          </cell>
        </row>
        <row r="386">
          <cell r="B386" t="str">
            <v>SW6716</v>
          </cell>
        </row>
        <row r="387">
          <cell r="B387" t="str">
            <v>SW6717</v>
          </cell>
        </row>
        <row r="388">
          <cell r="B388" t="str">
            <v>SW6718</v>
          </cell>
        </row>
        <row r="389">
          <cell r="B389" t="str">
            <v>SW6719</v>
          </cell>
        </row>
        <row r="390">
          <cell r="B390" t="str">
            <v>SW6720</v>
          </cell>
        </row>
        <row r="391">
          <cell r="B391" t="str">
            <v>SW6721</v>
          </cell>
        </row>
        <row r="392">
          <cell r="B392" t="str">
            <v>SW6722</v>
          </cell>
        </row>
        <row r="393">
          <cell r="B393" t="str">
            <v>SW6723</v>
          </cell>
        </row>
        <row r="394">
          <cell r="B394" t="str">
            <v>SW6725</v>
          </cell>
        </row>
        <row r="395">
          <cell r="B395" t="str">
            <v>SW6726</v>
          </cell>
        </row>
        <row r="396">
          <cell r="B396" t="str">
            <v>SW6727</v>
          </cell>
        </row>
        <row r="397">
          <cell r="B397" t="str">
            <v>SW6728</v>
          </cell>
        </row>
        <row r="398">
          <cell r="B398" t="str">
            <v>SW6729</v>
          </cell>
        </row>
        <row r="399">
          <cell r="B399" t="str">
            <v>SW6730</v>
          </cell>
        </row>
        <row r="400">
          <cell r="B400" t="str">
            <v>SW6731</v>
          </cell>
        </row>
        <row r="401">
          <cell r="B401" t="str">
            <v>SW6732</v>
          </cell>
        </row>
        <row r="402">
          <cell r="B402" t="str">
            <v>SW6733</v>
          </cell>
        </row>
        <row r="403">
          <cell r="B403" t="str">
            <v>SW6800</v>
          </cell>
        </row>
        <row r="404">
          <cell r="B404" t="str">
            <v>SW6801</v>
          </cell>
        </row>
        <row r="405">
          <cell r="B405" t="str">
            <v>SW6802</v>
          </cell>
        </row>
        <row r="406">
          <cell r="B406" t="str">
            <v>SW6803</v>
          </cell>
        </row>
        <row r="407">
          <cell r="B407" t="str">
            <v>SW6804</v>
          </cell>
        </row>
        <row r="408">
          <cell r="B408" t="str">
            <v>SW6805</v>
          </cell>
        </row>
        <row r="409">
          <cell r="B409" t="str">
            <v>SW6806</v>
          </cell>
        </row>
        <row r="410">
          <cell r="B410" t="str">
            <v>SW6807</v>
          </cell>
        </row>
        <row r="411">
          <cell r="B411" t="str">
            <v>SW6808</v>
          </cell>
        </row>
        <row r="412">
          <cell r="B412" t="str">
            <v>SW6809</v>
          </cell>
        </row>
        <row r="413">
          <cell r="B413" t="str">
            <v>SW6810</v>
          </cell>
        </row>
        <row r="414">
          <cell r="B414" t="str">
            <v>SW6811</v>
          </cell>
        </row>
        <row r="415">
          <cell r="B415" t="str">
            <v>SW6812</v>
          </cell>
        </row>
        <row r="416">
          <cell r="B416" t="str">
            <v>SW6813</v>
          </cell>
        </row>
        <row r="417">
          <cell r="B417" t="str">
            <v>SW6814</v>
          </cell>
        </row>
        <row r="418">
          <cell r="B418" t="str">
            <v>SW6815</v>
          </cell>
        </row>
        <row r="419">
          <cell r="B419" t="str">
            <v>SW6816</v>
          </cell>
        </row>
        <row r="420">
          <cell r="B420" t="str">
            <v>SW6817</v>
          </cell>
        </row>
        <row r="421">
          <cell r="B421" t="str">
            <v>SW6818</v>
          </cell>
        </row>
        <row r="422">
          <cell r="B422" t="str">
            <v>SW6819</v>
          </cell>
        </row>
        <row r="423">
          <cell r="B423" t="str">
            <v>SW6820</v>
          </cell>
        </row>
        <row r="424">
          <cell r="B424" t="str">
            <v>SW6821</v>
          </cell>
        </row>
        <row r="425">
          <cell r="B425" t="str">
            <v>SW6822</v>
          </cell>
        </row>
        <row r="426">
          <cell r="B426" t="str">
            <v>SW6823</v>
          </cell>
        </row>
        <row r="427">
          <cell r="B427" t="str">
            <v>SW6824</v>
          </cell>
        </row>
        <row r="428">
          <cell r="B428" t="str">
            <v>SW6825</v>
          </cell>
        </row>
        <row r="429">
          <cell r="B429" t="str">
            <v>SW6826</v>
          </cell>
        </row>
        <row r="430">
          <cell r="B430" t="str">
            <v>SW6827</v>
          </cell>
        </row>
        <row r="431">
          <cell r="B431" t="str">
            <v>SW6828</v>
          </cell>
        </row>
        <row r="432">
          <cell r="B432" t="str">
            <v>SW6828.001</v>
          </cell>
        </row>
        <row r="433">
          <cell r="B433" t="str">
            <v>SW6829</v>
          </cell>
        </row>
        <row r="434">
          <cell r="B434" t="str">
            <v>SW6830</v>
          </cell>
        </row>
        <row r="435">
          <cell r="B435" t="str">
            <v>SW6831</v>
          </cell>
        </row>
        <row r="436">
          <cell r="B436" t="str">
            <v>SW6832</v>
          </cell>
        </row>
        <row r="437">
          <cell r="B437" t="str">
            <v>SW6833</v>
          </cell>
        </row>
        <row r="438">
          <cell r="B438" t="str">
            <v>SW6834</v>
          </cell>
        </row>
        <row r="439">
          <cell r="B439" t="str">
            <v>SW6835</v>
          </cell>
        </row>
        <row r="440">
          <cell r="B440" t="str">
            <v>SW6900</v>
          </cell>
        </row>
        <row r="441">
          <cell r="B441" t="str">
            <v>SW6901</v>
          </cell>
        </row>
        <row r="442">
          <cell r="B442" t="str">
            <v>SW6902</v>
          </cell>
        </row>
        <row r="443">
          <cell r="B443" t="str">
            <v>SW6903</v>
          </cell>
        </row>
        <row r="444">
          <cell r="B444" t="str">
            <v>SW6904</v>
          </cell>
        </row>
        <row r="445">
          <cell r="B445" t="str">
            <v>SW6905</v>
          </cell>
        </row>
        <row r="446">
          <cell r="B446" t="str">
            <v>SW6906</v>
          </cell>
        </row>
        <row r="447">
          <cell r="B447" t="str">
            <v>SW6907</v>
          </cell>
        </row>
        <row r="448">
          <cell r="B448" t="str">
            <v>SW6908</v>
          </cell>
        </row>
        <row r="449">
          <cell r="B449" t="str">
            <v>SW6910</v>
          </cell>
        </row>
        <row r="450">
          <cell r="B450" t="str">
            <v>SW6911</v>
          </cell>
        </row>
        <row r="451">
          <cell r="B451" t="str">
            <v>SW6912</v>
          </cell>
        </row>
        <row r="452">
          <cell r="B452" t="str">
            <v>SW6913</v>
          </cell>
        </row>
        <row r="453">
          <cell r="B453" t="str">
            <v>SW6914</v>
          </cell>
        </row>
        <row r="454">
          <cell r="B454" t="str">
            <v>SW6915</v>
          </cell>
        </row>
        <row r="455">
          <cell r="B455" t="str">
            <v>SW6916</v>
          </cell>
        </row>
        <row r="456">
          <cell r="B456" t="str">
            <v>SW6917</v>
          </cell>
        </row>
        <row r="457">
          <cell r="B457" t="str">
            <v>SW6918</v>
          </cell>
        </row>
        <row r="458">
          <cell r="B458" t="str">
            <v>SW6919</v>
          </cell>
        </row>
        <row r="459">
          <cell r="B459" t="str">
            <v>SW6920</v>
          </cell>
        </row>
        <row r="460">
          <cell r="B460" t="str">
            <v>SW6921</v>
          </cell>
        </row>
        <row r="461">
          <cell r="B461" t="str">
            <v>SW6922</v>
          </cell>
        </row>
        <row r="462">
          <cell r="B462" t="str">
            <v>SW6923</v>
          </cell>
        </row>
        <row r="463">
          <cell r="B463" t="str">
            <v>SW6924</v>
          </cell>
        </row>
        <row r="464">
          <cell r="B464" t="str">
            <v>SW6925</v>
          </cell>
        </row>
        <row r="465">
          <cell r="B465" t="str">
            <v>SW6926</v>
          </cell>
        </row>
        <row r="466">
          <cell r="B466" t="str">
            <v>SW6927</v>
          </cell>
        </row>
        <row r="467">
          <cell r="B467" t="str">
            <v>SW6928</v>
          </cell>
        </row>
        <row r="468">
          <cell r="B468" t="str">
            <v>SW6929</v>
          </cell>
        </row>
        <row r="469">
          <cell r="B469" t="str">
            <v>SW6930</v>
          </cell>
        </row>
        <row r="470">
          <cell r="B470" t="str">
            <v>SW6931</v>
          </cell>
        </row>
        <row r="471">
          <cell r="B471" t="str">
            <v>SW6932</v>
          </cell>
        </row>
        <row r="472">
          <cell r="B472" t="str">
            <v>SW6933</v>
          </cell>
        </row>
        <row r="473">
          <cell r="B473" t="str">
            <v>SW6934</v>
          </cell>
        </row>
        <row r="474">
          <cell r="B474" t="str">
            <v>SW6935</v>
          </cell>
        </row>
        <row r="475">
          <cell r="B475" t="str">
            <v>SW6936</v>
          </cell>
        </row>
        <row r="476">
          <cell r="B476" t="str">
            <v>SW6937</v>
          </cell>
        </row>
        <row r="477">
          <cell r="B477" t="str">
            <v>SW6938</v>
          </cell>
        </row>
        <row r="478">
          <cell r="B478" t="str">
            <v>SW6939</v>
          </cell>
        </row>
        <row r="479">
          <cell r="B479" t="str">
            <v>SW6940</v>
          </cell>
        </row>
        <row r="480">
          <cell r="B480" t="str">
            <v>SW6941</v>
          </cell>
        </row>
        <row r="481">
          <cell r="B481" t="str">
            <v>SW6942</v>
          </cell>
        </row>
        <row r="482">
          <cell r="B482" t="str">
            <v>SW6943</v>
          </cell>
        </row>
        <row r="483">
          <cell r="B483" t="str">
            <v>SW6944</v>
          </cell>
        </row>
        <row r="484">
          <cell r="B484" t="str">
            <v>SW6945</v>
          </cell>
        </row>
        <row r="485">
          <cell r="B485" t="str">
            <v>SW6946</v>
          </cell>
        </row>
        <row r="486">
          <cell r="B486" t="str">
            <v>SW6947</v>
          </cell>
        </row>
        <row r="487">
          <cell r="B487" t="str">
            <v>SW6948</v>
          </cell>
        </row>
        <row r="488">
          <cell r="B488" t="str">
            <v>SW6949</v>
          </cell>
        </row>
        <row r="489">
          <cell r="B489" t="str">
            <v>SW6950</v>
          </cell>
        </row>
        <row r="490">
          <cell r="B490" t="str">
            <v>SW6951</v>
          </cell>
        </row>
        <row r="491">
          <cell r="B491" t="str">
            <v>SW6952</v>
          </cell>
        </row>
        <row r="492">
          <cell r="B492" t="str">
            <v>SW6953</v>
          </cell>
        </row>
        <row r="493">
          <cell r="B493" t="str">
            <v>SW6954</v>
          </cell>
        </row>
        <row r="494">
          <cell r="B494" t="str">
            <v>SW6955</v>
          </cell>
        </row>
        <row r="495">
          <cell r="B495" t="str">
            <v>SW6956</v>
          </cell>
        </row>
        <row r="496">
          <cell r="B496" t="str">
            <v>SW6957</v>
          </cell>
        </row>
        <row r="497">
          <cell r="B497" t="str">
            <v>SW6958</v>
          </cell>
        </row>
        <row r="498">
          <cell r="B498" t="str">
            <v>SW6959</v>
          </cell>
        </row>
        <row r="499">
          <cell r="B499" t="str">
            <v>SW6960</v>
          </cell>
        </row>
        <row r="500">
          <cell r="B500" t="str">
            <v>SW6961</v>
          </cell>
        </row>
        <row r="501">
          <cell r="B501" t="str">
            <v>SW6962</v>
          </cell>
        </row>
        <row r="502">
          <cell r="B502" t="str">
            <v>SW6963</v>
          </cell>
        </row>
        <row r="503">
          <cell r="B503" t="str">
            <v>SW6964</v>
          </cell>
        </row>
        <row r="504">
          <cell r="B504" t="str">
            <v>SW6965</v>
          </cell>
        </row>
        <row r="505">
          <cell r="B505" t="str">
            <v>SW6966</v>
          </cell>
        </row>
        <row r="506">
          <cell r="B506" t="str">
            <v>SW6967</v>
          </cell>
        </row>
        <row r="507">
          <cell r="B507" t="str">
            <v>SW6968</v>
          </cell>
        </row>
        <row r="508">
          <cell r="B508" t="str">
            <v>SW6969</v>
          </cell>
        </row>
        <row r="509">
          <cell r="B509" t="str">
            <v>SW6970</v>
          </cell>
        </row>
        <row r="510">
          <cell r="B510" t="str">
            <v>SW6971</v>
          </cell>
        </row>
        <row r="511">
          <cell r="B511" t="str">
            <v>SW6972</v>
          </cell>
        </row>
        <row r="512">
          <cell r="B512" t="str">
            <v>SW6973</v>
          </cell>
        </row>
        <row r="513">
          <cell r="B513" t="str">
            <v>SW6974</v>
          </cell>
        </row>
        <row r="514">
          <cell r="B514" t="str">
            <v>SW6975</v>
          </cell>
        </row>
        <row r="515">
          <cell r="B515" t="str">
            <v>UH8001</v>
          </cell>
        </row>
        <row r="516">
          <cell r="B516" t="str">
            <v>UH8002</v>
          </cell>
        </row>
        <row r="517">
          <cell r="B517" t="str">
            <v>UH8003</v>
          </cell>
        </row>
      </sheetData>
      <sheetData sheetId="2">
        <row r="2">
          <cell r="A2" t="str">
            <v>NE4001</v>
          </cell>
        </row>
      </sheetData>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mp; variances"/>
      <sheetName val="Plan detail"/>
      <sheetName val="Pivot analysis Plan Estimates"/>
      <sheetName val="Summary &amp; variances excl bids"/>
      <sheetName val="Source Data"/>
      <sheetName val="IM Risk Score Per Pipeline"/>
      <sheetName val="IM System Name"/>
      <sheetName val="Directions"/>
      <sheetName val="Pivot Analysis"/>
      <sheetName val="Pivot $ per Year"/>
      <sheetName val="4-yr Pivot Analysis"/>
    </sheetNames>
    <sheetDataSet>
      <sheetData sheetId="0"/>
      <sheetData sheetId="1"/>
      <sheetData sheetId="2"/>
      <sheetData sheetId="3"/>
      <sheetData sheetId="4">
        <row r="548">
          <cell r="B548" t="str">
            <v>Transmission</v>
          </cell>
        </row>
        <row r="549">
          <cell r="B549" t="str">
            <v>Distribution</v>
          </cell>
        </row>
        <row r="552">
          <cell r="B552" t="str">
            <v>NE</v>
          </cell>
        </row>
        <row r="553">
          <cell r="B553" t="str">
            <v>NW</v>
          </cell>
        </row>
        <row r="554">
          <cell r="B554" t="str">
            <v>OH</v>
          </cell>
        </row>
        <row r="555">
          <cell r="B555" t="str">
            <v>SE</v>
          </cell>
        </row>
        <row r="556">
          <cell r="B556" t="str">
            <v>SW</v>
          </cell>
        </row>
      </sheetData>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mp; variances"/>
      <sheetName val="Plan detail"/>
      <sheetName val="Pivot analysis Plan Estimates"/>
      <sheetName val="Summary &amp; variances excl bids"/>
      <sheetName val="Source Data"/>
      <sheetName val="IM Risk Score Per Pipeline"/>
      <sheetName val="IM System Name"/>
      <sheetName val="Directions"/>
      <sheetName val="Pivot Analysis"/>
      <sheetName val="Pivot $ per Year"/>
      <sheetName val="4-yr Pivot Analysis"/>
    </sheetNames>
    <sheetDataSet>
      <sheetData sheetId="0"/>
      <sheetData sheetId="1"/>
      <sheetData sheetId="2"/>
      <sheetData sheetId="3"/>
      <sheetData sheetId="4">
        <row r="548">
          <cell r="B548" t="str">
            <v>Transmission</v>
          </cell>
        </row>
        <row r="549">
          <cell r="B549" t="str">
            <v>Distribution</v>
          </cell>
        </row>
        <row r="552">
          <cell r="B552" t="str">
            <v>NE</v>
          </cell>
        </row>
        <row r="553">
          <cell r="B553" t="str">
            <v>NW</v>
          </cell>
        </row>
        <row r="554">
          <cell r="B554" t="str">
            <v>OH</v>
          </cell>
        </row>
        <row r="555">
          <cell r="B555" t="str">
            <v>SE</v>
          </cell>
        </row>
        <row r="556">
          <cell r="B556" t="str">
            <v>SW</v>
          </cell>
        </row>
      </sheetData>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GE"/>
      <sheetName val="SUMMARY CALC"/>
      <sheetName val="PIS AFUDC PIVOT"/>
      <sheetName val="Bucket"/>
      <sheetName val="PIS AFUDC"/>
      <sheetName val="CHARGE PIVOT"/>
      <sheetName val="Charges"/>
      <sheetName val="AFUDC Rates"/>
      <sheetName val="WO Select Query"/>
      <sheetName val="WO Select Pivot"/>
      <sheetName val="Press Release"/>
      <sheetName val="Procedures"/>
      <sheetName val="Summary for Projection"/>
    </sheetNames>
    <sheetDataSet>
      <sheetData sheetId="0"/>
      <sheetData sheetId="1"/>
      <sheetData sheetId="2">
        <row r="5">
          <cell r="B5" t="str">
            <v>(blank)</v>
          </cell>
          <cell r="C5">
            <v>0</v>
          </cell>
        </row>
        <row r="6">
          <cell r="B6" t="str">
            <v>08592052800</v>
          </cell>
          <cell r="C6">
            <v>18030.315686039343</v>
          </cell>
        </row>
        <row r="7">
          <cell r="B7" t="str">
            <v>08582152700</v>
          </cell>
          <cell r="C7">
            <v>50653.222664255278</v>
          </cell>
        </row>
        <row r="8">
          <cell r="B8" t="str">
            <v>08582152010</v>
          </cell>
          <cell r="C8">
            <v>4058.4230071865391</v>
          </cell>
        </row>
        <row r="9">
          <cell r="B9" t="str">
            <v>08582152703</v>
          </cell>
          <cell r="C9">
            <v>25872.666138665118</v>
          </cell>
        </row>
        <row r="10">
          <cell r="B10" t="str">
            <v>08582152701</v>
          </cell>
          <cell r="C10">
            <v>63883.412703545029</v>
          </cell>
        </row>
        <row r="11">
          <cell r="B11" t="str">
            <v>08573352703</v>
          </cell>
          <cell r="C11">
            <v>114470.3902617719</v>
          </cell>
        </row>
        <row r="12">
          <cell r="B12" t="str">
            <v>08582152702</v>
          </cell>
          <cell r="C12">
            <v>76278.752208433609</v>
          </cell>
        </row>
        <row r="13">
          <cell r="B13" t="str">
            <v>08573352702</v>
          </cell>
          <cell r="C13">
            <v>116501.61265871074</v>
          </cell>
        </row>
        <row r="14">
          <cell r="B14" t="str">
            <v>08595752010</v>
          </cell>
          <cell r="C14">
            <v>0</v>
          </cell>
        </row>
        <row r="15">
          <cell r="B15" t="str">
            <v>08582152707</v>
          </cell>
          <cell r="C15">
            <v>3099.1848813329739</v>
          </cell>
        </row>
        <row r="16">
          <cell r="B16" t="str">
            <v>08573352701</v>
          </cell>
          <cell r="C16">
            <v>56370.995721500032</v>
          </cell>
        </row>
        <row r="17">
          <cell r="B17" t="str">
            <v>08582152704</v>
          </cell>
          <cell r="C17">
            <v>63480.771636455029</v>
          </cell>
        </row>
        <row r="18">
          <cell r="B18" t="str">
            <v>08582152705</v>
          </cell>
          <cell r="C18">
            <v>79829.350535251564</v>
          </cell>
        </row>
        <row r="19">
          <cell r="B19" t="str">
            <v>08582152708</v>
          </cell>
          <cell r="C19">
            <v>1930.4482634406813</v>
          </cell>
        </row>
        <row r="20">
          <cell r="B20" t="str">
            <v>08573352700</v>
          </cell>
          <cell r="C20">
            <v>87039.1315186375</v>
          </cell>
        </row>
        <row r="21">
          <cell r="B21" t="str">
            <v>08574152702</v>
          </cell>
          <cell r="C21">
            <v>39258.4963038895</v>
          </cell>
        </row>
        <row r="22">
          <cell r="B22" t="str">
            <v>08582152711</v>
          </cell>
          <cell r="C22">
            <v>8696.7384176644591</v>
          </cell>
        </row>
        <row r="23">
          <cell r="B23" t="str">
            <v>08582152706</v>
          </cell>
          <cell r="C23">
            <v>17464.231043568831</v>
          </cell>
        </row>
        <row r="24">
          <cell r="B24" t="str">
            <v>08582152709</v>
          </cell>
          <cell r="C24">
            <v>9944.5681850414985</v>
          </cell>
        </row>
        <row r="25">
          <cell r="B25" t="str">
            <v>08582152710</v>
          </cell>
          <cell r="C25">
            <v>12563.465388973096</v>
          </cell>
        </row>
        <row r="26">
          <cell r="B26" t="str">
            <v>08574152713</v>
          </cell>
          <cell r="C26">
            <v>0</v>
          </cell>
        </row>
        <row r="27">
          <cell r="B27" t="str">
            <v>08574152714</v>
          </cell>
          <cell r="C27">
            <v>7064.266976076804</v>
          </cell>
        </row>
        <row r="28">
          <cell r="B28" t="str">
            <v>08574152705</v>
          </cell>
          <cell r="C28">
            <v>14379.154051273021</v>
          </cell>
        </row>
        <row r="29">
          <cell r="B29" t="str">
            <v>08574152700</v>
          </cell>
          <cell r="C29">
            <v>33799.351655264247</v>
          </cell>
        </row>
        <row r="30">
          <cell r="B30" t="str">
            <v>08574152703</v>
          </cell>
          <cell r="C30">
            <v>75588.974444133695</v>
          </cell>
        </row>
        <row r="31">
          <cell r="B31" t="str">
            <v>08574152715</v>
          </cell>
          <cell r="C31">
            <v>18949.165879670883</v>
          </cell>
        </row>
        <row r="32">
          <cell r="B32" t="str">
            <v>08574152701</v>
          </cell>
          <cell r="C32">
            <v>55035.342089671125</v>
          </cell>
        </row>
        <row r="33">
          <cell r="B33" t="str">
            <v>08574152708</v>
          </cell>
          <cell r="C33">
            <v>2601.597979757586</v>
          </cell>
        </row>
        <row r="34">
          <cell r="B34" t="str">
            <v>08574152704</v>
          </cell>
          <cell r="C34">
            <v>73917.929646348071</v>
          </cell>
        </row>
        <row r="35">
          <cell r="B35" t="str">
            <v>08573352704</v>
          </cell>
          <cell r="C35">
            <v>15454.692841762535</v>
          </cell>
        </row>
        <row r="36">
          <cell r="B36" t="str">
            <v>08595052700</v>
          </cell>
          <cell r="C36">
            <v>119961.67387712451</v>
          </cell>
        </row>
        <row r="37">
          <cell r="B37" t="str">
            <v>08595052701</v>
          </cell>
          <cell r="C37">
            <v>92763.948344048069</v>
          </cell>
        </row>
        <row r="38">
          <cell r="B38" t="str">
            <v>08574152706</v>
          </cell>
          <cell r="C38">
            <v>63506.995918871333</v>
          </cell>
        </row>
        <row r="39">
          <cell r="B39" t="str">
            <v>08574152711</v>
          </cell>
          <cell r="C39">
            <v>45930.639457350662</v>
          </cell>
        </row>
        <row r="40">
          <cell r="B40" t="str">
            <v>08582152712</v>
          </cell>
          <cell r="C40">
            <v>81727.771925932946</v>
          </cell>
        </row>
        <row r="41">
          <cell r="B41" t="str">
            <v>08574152707</v>
          </cell>
          <cell r="C41">
            <v>122323.63505572698</v>
          </cell>
        </row>
        <row r="42">
          <cell r="B42" t="str">
            <v>08574152709</v>
          </cell>
          <cell r="C42">
            <v>57742.985981992308</v>
          </cell>
        </row>
        <row r="43">
          <cell r="B43" t="str">
            <v>08574152712</v>
          </cell>
          <cell r="C43">
            <v>75863.105463271844</v>
          </cell>
        </row>
        <row r="44">
          <cell r="B44" t="str">
            <v>08595452701</v>
          </cell>
          <cell r="C44">
            <v>9297.8216552107733</v>
          </cell>
        </row>
        <row r="45">
          <cell r="B45" t="str">
            <v>08574152710</v>
          </cell>
          <cell r="C45">
            <v>69982.611513737007</v>
          </cell>
        </row>
        <row r="46">
          <cell r="B46" t="str">
            <v>08582152713</v>
          </cell>
          <cell r="C46">
            <v>74273.102811233635</v>
          </cell>
        </row>
        <row r="47">
          <cell r="B47" t="str">
            <v>08583452700</v>
          </cell>
          <cell r="C47">
            <v>23401.255220738745</v>
          </cell>
        </row>
        <row r="48">
          <cell r="B48" t="str">
            <v>08595452700</v>
          </cell>
          <cell r="C48">
            <v>3150.1248506432366</v>
          </cell>
        </row>
        <row r="49">
          <cell r="B49" t="str">
            <v>08582152714</v>
          </cell>
          <cell r="C49">
            <v>92149.003250972572</v>
          </cell>
        </row>
        <row r="50">
          <cell r="B50" t="str">
            <v>08583352525</v>
          </cell>
          <cell r="C50">
            <v>10384.187976560592</v>
          </cell>
        </row>
        <row r="51">
          <cell r="B51" t="str">
            <v>09583452525</v>
          </cell>
          <cell r="C51">
            <v>68177.794740956801</v>
          </cell>
        </row>
        <row r="52">
          <cell r="B52" t="str">
            <v>09592752525</v>
          </cell>
          <cell r="C52">
            <v>8576.9527592174491</v>
          </cell>
        </row>
        <row r="53">
          <cell r="B53" t="str">
            <v>08574152540</v>
          </cell>
          <cell r="C53">
            <v>64233.920963281314</v>
          </cell>
        </row>
        <row r="54">
          <cell r="B54" t="str">
            <v>08583352526</v>
          </cell>
          <cell r="C54">
            <v>82243.21065922972</v>
          </cell>
        </row>
        <row r="55">
          <cell r="B55" t="str">
            <v>08595552523</v>
          </cell>
          <cell r="C55">
            <v>38719.482354335509</v>
          </cell>
        </row>
        <row r="56">
          <cell r="B56" t="str">
            <v>08573352530</v>
          </cell>
          <cell r="C56">
            <v>50392.35115978714</v>
          </cell>
        </row>
        <row r="57">
          <cell r="B57" t="str">
            <v>08573352529</v>
          </cell>
          <cell r="C57">
            <v>44648.242871839349</v>
          </cell>
        </row>
        <row r="58">
          <cell r="B58" t="str">
            <v>09592052523</v>
          </cell>
          <cell r="C58">
            <v>55619.117841668281</v>
          </cell>
        </row>
        <row r="59">
          <cell r="B59" t="str">
            <v>09595552527</v>
          </cell>
          <cell r="C59">
            <v>4306.4544300278176</v>
          </cell>
        </row>
        <row r="60">
          <cell r="B60" t="str">
            <v>09583252523</v>
          </cell>
          <cell r="C60">
            <v>39977.783398284861</v>
          </cell>
        </row>
        <row r="61">
          <cell r="B61" t="str">
            <v>09582152523</v>
          </cell>
          <cell r="C61">
            <v>25626.453706111526</v>
          </cell>
        </row>
        <row r="62">
          <cell r="B62" t="str">
            <v>08582152540</v>
          </cell>
          <cell r="C62">
            <v>98896.218662434534</v>
          </cell>
        </row>
        <row r="63">
          <cell r="B63" t="str">
            <v>09574152523</v>
          </cell>
          <cell r="C63">
            <v>19159.277266376906</v>
          </cell>
        </row>
        <row r="64">
          <cell r="B64" t="str">
            <v>09574152526</v>
          </cell>
          <cell r="C64">
            <v>25862.766887123285</v>
          </cell>
        </row>
        <row r="65">
          <cell r="B65" t="str">
            <v>09574152525</v>
          </cell>
          <cell r="C65">
            <v>39071.620016437162</v>
          </cell>
        </row>
        <row r="66">
          <cell r="B66" t="str">
            <v>09582152525</v>
          </cell>
          <cell r="C66">
            <v>51548.654255901907</v>
          </cell>
        </row>
        <row r="67">
          <cell r="B67" t="str">
            <v>09595052523</v>
          </cell>
          <cell r="C67">
            <v>26208.671729416783</v>
          </cell>
        </row>
        <row r="68">
          <cell r="B68" t="str">
            <v>09582152526</v>
          </cell>
          <cell r="C68">
            <v>0</v>
          </cell>
        </row>
        <row r="69">
          <cell r="B69" t="str">
            <v>09583352523</v>
          </cell>
          <cell r="C69">
            <v>61258.173073710634</v>
          </cell>
        </row>
        <row r="70">
          <cell r="B70" t="str">
            <v>08595052526</v>
          </cell>
          <cell r="C70">
            <v>52117.845897536499</v>
          </cell>
        </row>
        <row r="71">
          <cell r="B71" t="str">
            <v>09575252523</v>
          </cell>
          <cell r="C71">
            <v>66856.774390831823</v>
          </cell>
        </row>
        <row r="72">
          <cell r="B72" t="str">
            <v>09582152527</v>
          </cell>
          <cell r="C72">
            <v>37871.53420303786</v>
          </cell>
        </row>
        <row r="73">
          <cell r="B73" t="str">
            <v>09582152528</v>
          </cell>
          <cell r="C73">
            <v>65508.592852728361</v>
          </cell>
        </row>
        <row r="74">
          <cell r="B74" t="str">
            <v>09582152531</v>
          </cell>
          <cell r="C74">
            <v>17355.462589494397</v>
          </cell>
        </row>
        <row r="75">
          <cell r="B75" t="str">
            <v>09583452526</v>
          </cell>
          <cell r="C75">
            <v>74874.490999624657</v>
          </cell>
        </row>
        <row r="76">
          <cell r="B76" t="str">
            <v>09592552523</v>
          </cell>
          <cell r="C76">
            <v>0</v>
          </cell>
        </row>
        <row r="77">
          <cell r="B77" t="str">
            <v>09592652523</v>
          </cell>
          <cell r="C77">
            <v>4490.5975240651223</v>
          </cell>
        </row>
        <row r="78">
          <cell r="B78" t="str">
            <v>09592852523</v>
          </cell>
          <cell r="C78">
            <v>21233.212083407157</v>
          </cell>
        </row>
        <row r="79">
          <cell r="B79" t="str">
            <v>09595052526</v>
          </cell>
          <cell r="C79">
            <v>11031.706481531732</v>
          </cell>
        </row>
        <row r="80">
          <cell r="B80" t="str">
            <v>09595552526</v>
          </cell>
          <cell r="C80">
            <v>54469.761977828639</v>
          </cell>
        </row>
        <row r="81">
          <cell r="B81" t="str">
            <v>09574152528</v>
          </cell>
          <cell r="C81">
            <v>21445.761177016186</v>
          </cell>
        </row>
        <row r="82">
          <cell r="B82" t="str">
            <v>09595052529</v>
          </cell>
          <cell r="C82">
            <v>20270.497462742416</v>
          </cell>
        </row>
        <row r="83">
          <cell r="B83" t="str">
            <v>09595352523</v>
          </cell>
          <cell r="C83">
            <v>4337.6366946334256</v>
          </cell>
        </row>
        <row r="84">
          <cell r="B84" t="str">
            <v>09573352523</v>
          </cell>
          <cell r="C84">
            <v>74941.538038891449</v>
          </cell>
        </row>
        <row r="85">
          <cell r="B85" t="str">
            <v>09573352527</v>
          </cell>
          <cell r="C85">
            <v>51937.855451139665</v>
          </cell>
        </row>
        <row r="86">
          <cell r="B86" t="str">
            <v>09574152527</v>
          </cell>
          <cell r="C86">
            <v>10420.163649063908</v>
          </cell>
        </row>
        <row r="87">
          <cell r="B87" t="str">
            <v>09582152530</v>
          </cell>
          <cell r="C87">
            <v>26234.66688760406</v>
          </cell>
        </row>
        <row r="88">
          <cell r="B88" t="str">
            <v>09582152532</v>
          </cell>
          <cell r="C88">
            <v>0</v>
          </cell>
        </row>
        <row r="89">
          <cell r="B89" t="str">
            <v>09582152533</v>
          </cell>
          <cell r="C89">
            <v>0</v>
          </cell>
        </row>
        <row r="90">
          <cell r="B90" t="str">
            <v>09592052525</v>
          </cell>
          <cell r="C90">
            <v>73544.928191348357</v>
          </cell>
        </row>
        <row r="91">
          <cell r="B91" t="str">
            <v>09592052527</v>
          </cell>
          <cell r="C91">
            <v>20611.932984353465</v>
          </cell>
        </row>
        <row r="92">
          <cell r="B92" t="str">
            <v>09592052528</v>
          </cell>
          <cell r="C92">
            <v>9788.6707941447021</v>
          </cell>
        </row>
        <row r="93">
          <cell r="B93" t="str">
            <v>09592452525</v>
          </cell>
          <cell r="C93">
            <v>29928.993911697235</v>
          </cell>
        </row>
        <row r="94">
          <cell r="B94" t="str">
            <v>09592452526</v>
          </cell>
          <cell r="C94">
            <v>12305.576351304964</v>
          </cell>
        </row>
        <row r="95">
          <cell r="B95" t="str">
            <v>09592452527</v>
          </cell>
          <cell r="C95">
            <v>15319.446589248619</v>
          </cell>
        </row>
        <row r="96">
          <cell r="B96" t="str">
            <v>09592452528</v>
          </cell>
          <cell r="C96">
            <v>28352.175275561902</v>
          </cell>
        </row>
        <row r="97">
          <cell r="B97" t="str">
            <v>09595052530</v>
          </cell>
          <cell r="C97">
            <v>31174.212250609613</v>
          </cell>
        </row>
        <row r="98">
          <cell r="B98" t="str">
            <v>09595752523</v>
          </cell>
          <cell r="C98">
            <v>35780.466968414141</v>
          </cell>
        </row>
        <row r="99">
          <cell r="B99" t="str">
            <v>09595952523</v>
          </cell>
          <cell r="C99">
            <v>0</v>
          </cell>
        </row>
        <row r="100">
          <cell r="B100" t="str">
            <v>08582152011</v>
          </cell>
          <cell r="C100">
            <v>0</v>
          </cell>
        </row>
        <row r="101">
          <cell r="B101" t="str">
            <v>08582152715</v>
          </cell>
          <cell r="C101">
            <v>0</v>
          </cell>
        </row>
        <row r="102">
          <cell r="B102" t="str">
            <v>09573352526</v>
          </cell>
          <cell r="C102">
            <v>36162.638991297783</v>
          </cell>
        </row>
        <row r="103">
          <cell r="B103" t="str">
            <v>09574252523</v>
          </cell>
          <cell r="C103">
            <v>0</v>
          </cell>
        </row>
        <row r="104">
          <cell r="B104" t="str">
            <v>09575152523</v>
          </cell>
          <cell r="C104">
            <v>0</v>
          </cell>
        </row>
        <row r="105">
          <cell r="B105" t="str">
            <v>09575252525</v>
          </cell>
          <cell r="C105">
            <v>0</v>
          </cell>
        </row>
        <row r="106">
          <cell r="B106" t="str">
            <v>09582152529</v>
          </cell>
          <cell r="C106">
            <v>0</v>
          </cell>
        </row>
        <row r="107">
          <cell r="B107" t="str">
            <v>09582152534</v>
          </cell>
          <cell r="C107">
            <v>16146.507683642925</v>
          </cell>
        </row>
        <row r="108">
          <cell r="B108" t="str">
            <v>09585652010</v>
          </cell>
          <cell r="C108">
            <v>0</v>
          </cell>
        </row>
        <row r="109">
          <cell r="B109" t="str">
            <v>09592052529</v>
          </cell>
          <cell r="C109">
            <v>12242.82865446602</v>
          </cell>
        </row>
        <row r="110">
          <cell r="B110" t="str">
            <v>09595052527</v>
          </cell>
          <cell r="C110">
            <v>0</v>
          </cell>
        </row>
        <row r="111">
          <cell r="B111" t="str">
            <v>09595052531</v>
          </cell>
          <cell r="C111">
            <v>52822.531180741527</v>
          </cell>
        </row>
        <row r="112">
          <cell r="B112" t="str">
            <v>09595552528</v>
          </cell>
          <cell r="C112">
            <v>36326.535984888702</v>
          </cell>
        </row>
        <row r="113">
          <cell r="B113" t="str">
            <v>09595552529</v>
          </cell>
          <cell r="C113">
            <v>24413.63055381941</v>
          </cell>
        </row>
        <row r="114">
          <cell r="B114" t="str">
            <v>BS/CI Clarksville</v>
          </cell>
          <cell r="C114">
            <v>0</v>
          </cell>
        </row>
        <row r="115">
          <cell r="B115" t="str">
            <v>BS/CI Muncie 08</v>
          </cell>
          <cell r="C115">
            <v>0</v>
          </cell>
        </row>
        <row r="116">
          <cell r="B116" t="str">
            <v>09595402052523</v>
          </cell>
          <cell r="C116">
            <v>33804.140404262231</v>
          </cell>
        </row>
        <row r="117">
          <cell r="B117" t="str">
            <v>09574102052523</v>
          </cell>
          <cell r="C117">
            <v>25883.471146105097</v>
          </cell>
        </row>
        <row r="118">
          <cell r="B118" t="str">
            <v>09582102052523</v>
          </cell>
          <cell r="C118">
            <v>20433.984621999785</v>
          </cell>
        </row>
        <row r="119">
          <cell r="B119" t="str">
            <v>09582102052525</v>
          </cell>
          <cell r="C119">
            <v>42074.794274606109</v>
          </cell>
        </row>
        <row r="120">
          <cell r="B120" t="str">
            <v>10595002052011</v>
          </cell>
          <cell r="C120">
            <v>5409.0244668704363</v>
          </cell>
        </row>
        <row r="121">
          <cell r="B121" t="str">
            <v>09595002052523</v>
          </cell>
          <cell r="C121">
            <v>23435.40946221332</v>
          </cell>
        </row>
        <row r="122">
          <cell r="B122" t="str">
            <v>09595002052525</v>
          </cell>
          <cell r="C122">
            <v>14341.379284299355</v>
          </cell>
        </row>
        <row r="123">
          <cell r="B123" t="str">
            <v>09595002052526</v>
          </cell>
          <cell r="C123">
            <v>18370.176527456497</v>
          </cell>
        </row>
        <row r="124">
          <cell r="B124" t="str">
            <v>10595002052212</v>
          </cell>
          <cell r="C124">
            <v>24999.988523790737</v>
          </cell>
        </row>
        <row r="125">
          <cell r="B125" t="str">
            <v>09592002052523</v>
          </cell>
          <cell r="C125">
            <v>33621.078323857648</v>
          </cell>
        </row>
        <row r="126">
          <cell r="B126" t="str">
            <v>09592002052525</v>
          </cell>
          <cell r="C126">
            <v>16390.970798837592</v>
          </cell>
        </row>
        <row r="127">
          <cell r="B127" t="str">
            <v>09592002052526</v>
          </cell>
          <cell r="C127">
            <v>18811.505876653839</v>
          </cell>
        </row>
        <row r="128">
          <cell r="B128" t="str">
            <v>10592702052210</v>
          </cell>
          <cell r="C128">
            <v>6206.4829637520379</v>
          </cell>
        </row>
        <row r="129">
          <cell r="B129" t="str">
            <v>10592702052212</v>
          </cell>
          <cell r="C129">
            <v>23101.340189011746</v>
          </cell>
        </row>
        <row r="130">
          <cell r="B130" t="str">
            <v>10583302052210</v>
          </cell>
          <cell r="C130">
            <v>3434.0135731576952</v>
          </cell>
        </row>
        <row r="131">
          <cell r="B131" t="str">
            <v>10595502052210</v>
          </cell>
          <cell r="C131">
            <v>20380.790740541615</v>
          </cell>
        </row>
        <row r="132">
          <cell r="B132" t="str">
            <v>10592402052210</v>
          </cell>
          <cell r="C132">
            <v>15687.349266244679</v>
          </cell>
        </row>
        <row r="133">
          <cell r="B133" t="str">
            <v>10595402052210</v>
          </cell>
          <cell r="C133">
            <v>30657.027853321037</v>
          </cell>
        </row>
        <row r="134">
          <cell r="B134" t="str">
            <v>10595502052212</v>
          </cell>
          <cell r="C134">
            <v>18843.169885532829</v>
          </cell>
        </row>
        <row r="135">
          <cell r="B135" t="str">
            <v>10573302052210</v>
          </cell>
          <cell r="C135">
            <v>21760.057905540896</v>
          </cell>
        </row>
        <row r="136">
          <cell r="B136" t="str">
            <v>10583202052210</v>
          </cell>
          <cell r="C136">
            <v>47636.398977119134</v>
          </cell>
        </row>
        <row r="137">
          <cell r="B137" t="str">
            <v>10583402052210</v>
          </cell>
          <cell r="C137">
            <v>32798.97509775345</v>
          </cell>
        </row>
        <row r="138">
          <cell r="B138" t="str">
            <v>10592002052210</v>
          </cell>
          <cell r="C138">
            <v>23622.244731296163</v>
          </cell>
        </row>
        <row r="139">
          <cell r="B139" t="str">
            <v>10592002052212</v>
          </cell>
          <cell r="C139">
            <v>58117.434030704506</v>
          </cell>
        </row>
        <row r="140">
          <cell r="B140" t="str">
            <v>10592002052213</v>
          </cell>
          <cell r="C140">
            <v>32176.698726617884</v>
          </cell>
        </row>
        <row r="141">
          <cell r="B141" t="str">
            <v>10592002052214</v>
          </cell>
          <cell r="C141">
            <v>27474.335009726507</v>
          </cell>
        </row>
        <row r="142">
          <cell r="B142" t="str">
            <v>10592702052213</v>
          </cell>
          <cell r="C142">
            <v>18062.865630735014</v>
          </cell>
        </row>
        <row r="143">
          <cell r="B143" t="str">
            <v>10592802052210</v>
          </cell>
          <cell r="C143">
            <v>23687.746006821904</v>
          </cell>
        </row>
        <row r="144">
          <cell r="B144" t="str">
            <v>10595402052212</v>
          </cell>
          <cell r="C144">
            <v>32079.930939884751</v>
          </cell>
        </row>
        <row r="145">
          <cell r="B145" t="str">
            <v>10592502052210</v>
          </cell>
          <cell r="C145">
            <v>25982.307018719501</v>
          </cell>
        </row>
        <row r="146">
          <cell r="B146" t="str">
            <v>10595302052210</v>
          </cell>
          <cell r="C146">
            <v>22147.029284495537</v>
          </cell>
        </row>
        <row r="147">
          <cell r="B147" t="str">
            <v>10595302052212</v>
          </cell>
          <cell r="C147">
            <v>8744.3849141101255</v>
          </cell>
        </row>
        <row r="148">
          <cell r="B148" t="str">
            <v>11592002052210</v>
          </cell>
          <cell r="C148">
            <v>10923.168894144754</v>
          </cell>
        </row>
        <row r="149">
          <cell r="B149" t="str">
            <v>11574102052213</v>
          </cell>
          <cell r="C149">
            <v>12044.515873154573</v>
          </cell>
        </row>
        <row r="150">
          <cell r="B150" t="str">
            <v>11595502052210</v>
          </cell>
          <cell r="C150">
            <v>0</v>
          </cell>
        </row>
        <row r="151">
          <cell r="B151" t="str">
            <v>11595502052212</v>
          </cell>
          <cell r="C151">
            <v>15702.898983283567</v>
          </cell>
        </row>
        <row r="152">
          <cell r="B152" t="str">
            <v>11573302052210</v>
          </cell>
          <cell r="C152">
            <v>11384.090599067456</v>
          </cell>
        </row>
        <row r="153">
          <cell r="B153" t="str">
            <v>11573302052212</v>
          </cell>
          <cell r="C153">
            <v>6974.9307582797492</v>
          </cell>
        </row>
        <row r="154">
          <cell r="B154" t="str">
            <v>11574102052214</v>
          </cell>
          <cell r="C154">
            <v>4773.3277056845</v>
          </cell>
        </row>
        <row r="155">
          <cell r="B155" t="str">
            <v>11574102052215</v>
          </cell>
          <cell r="C155">
            <v>368.29653908124999</v>
          </cell>
        </row>
        <row r="156">
          <cell r="B156" t="str">
            <v>11575202052214</v>
          </cell>
          <cell r="C156">
            <v>2572.3786451187498</v>
          </cell>
        </row>
        <row r="157">
          <cell r="B157" t="str">
            <v>11575302052210</v>
          </cell>
          <cell r="C157">
            <v>913.86904747125004</v>
          </cell>
        </row>
        <row r="158">
          <cell r="B158" t="str">
            <v>11583202052212</v>
          </cell>
          <cell r="C158">
            <v>23355.187745784846</v>
          </cell>
        </row>
        <row r="159">
          <cell r="B159" t="str">
            <v>11583402052210</v>
          </cell>
          <cell r="C159">
            <v>26766.770891112817</v>
          </cell>
        </row>
        <row r="160">
          <cell r="B160" t="str">
            <v>11592002052216</v>
          </cell>
          <cell r="C160">
            <v>6829.314379669504</v>
          </cell>
        </row>
        <row r="161">
          <cell r="B161" t="str">
            <v>11592702052210</v>
          </cell>
          <cell r="C161">
            <v>6773.5432053088098</v>
          </cell>
        </row>
        <row r="162">
          <cell r="B162" t="str">
            <v>11592702052212</v>
          </cell>
          <cell r="C162">
            <v>3332.6353503513292</v>
          </cell>
        </row>
        <row r="163">
          <cell r="B163" t="str">
            <v>11595002052210</v>
          </cell>
          <cell r="C163">
            <v>9291.1795272915006</v>
          </cell>
        </row>
        <row r="164">
          <cell r="B164" t="str">
            <v>11595502052213</v>
          </cell>
          <cell r="C164">
            <v>2768.3424599999998</v>
          </cell>
        </row>
        <row r="165">
          <cell r="B165" t="str">
            <v>11595902052212</v>
          </cell>
          <cell r="C165">
            <v>14945.096546547251</v>
          </cell>
        </row>
        <row r="166">
          <cell r="B166" t="str">
            <v>10573302052212</v>
          </cell>
          <cell r="C166">
            <v>13592.023764474381</v>
          </cell>
        </row>
        <row r="167">
          <cell r="B167" t="str">
            <v>11573302052213</v>
          </cell>
          <cell r="C167">
            <v>3607.9023117275001</v>
          </cell>
        </row>
        <row r="168">
          <cell r="B168" t="str">
            <v>11573302052214</v>
          </cell>
          <cell r="C168">
            <v>0</v>
          </cell>
        </row>
        <row r="169">
          <cell r="B169" t="str">
            <v>11574102052210</v>
          </cell>
          <cell r="C169">
            <v>2390.0168296422094</v>
          </cell>
        </row>
        <row r="170">
          <cell r="B170" t="str">
            <v>11575102052210</v>
          </cell>
          <cell r="C170">
            <v>2756.1184990950001</v>
          </cell>
        </row>
        <row r="171">
          <cell r="B171" t="str">
            <v>11575102052212</v>
          </cell>
          <cell r="C171">
            <v>4399.5007618575</v>
          </cell>
        </row>
        <row r="172">
          <cell r="B172" t="str">
            <v>11575302052212</v>
          </cell>
          <cell r="C172">
            <v>5807.4371744126092</v>
          </cell>
        </row>
        <row r="173">
          <cell r="B173" t="str">
            <v>11582102052210</v>
          </cell>
          <cell r="C173">
            <v>0</v>
          </cell>
        </row>
        <row r="174">
          <cell r="B174" t="str">
            <v>11582102052212</v>
          </cell>
          <cell r="C174">
            <v>0</v>
          </cell>
        </row>
        <row r="175">
          <cell r="B175" t="str">
            <v>11582102052213</v>
          </cell>
          <cell r="C175">
            <v>5726.1535008600003</v>
          </cell>
        </row>
        <row r="176">
          <cell r="B176" t="str">
            <v>11583202052213</v>
          </cell>
          <cell r="C176">
            <v>7842.2117528437511</v>
          </cell>
        </row>
        <row r="177">
          <cell r="B177" t="str">
            <v>11583202052215</v>
          </cell>
          <cell r="C177">
            <v>7511.1142650237507</v>
          </cell>
        </row>
        <row r="178">
          <cell r="B178" t="str">
            <v>11592002052212</v>
          </cell>
          <cell r="C178">
            <v>19079.724447092249</v>
          </cell>
        </row>
        <row r="179">
          <cell r="B179" t="str">
            <v>11592002052214</v>
          </cell>
          <cell r="C179">
            <v>16183.447206458772</v>
          </cell>
        </row>
        <row r="180">
          <cell r="B180" t="str">
            <v>11592002052217</v>
          </cell>
          <cell r="C180">
            <v>1990.1935625000001</v>
          </cell>
        </row>
        <row r="181">
          <cell r="B181" t="str">
            <v>11592502052210</v>
          </cell>
          <cell r="C181">
            <v>27351.816939677537</v>
          </cell>
        </row>
        <row r="182">
          <cell r="B182" t="str">
            <v>11595002052212</v>
          </cell>
          <cell r="C182">
            <v>0</v>
          </cell>
        </row>
        <row r="183">
          <cell r="B183" t="str">
            <v>11595202052210</v>
          </cell>
          <cell r="C183">
            <v>921.15120499999989</v>
          </cell>
        </row>
        <row r="184">
          <cell r="B184" t="str">
            <v>11595302052210</v>
          </cell>
          <cell r="C184">
            <v>1942.3478636412499</v>
          </cell>
        </row>
        <row r="185">
          <cell r="B185" t="str">
            <v>11595302052212</v>
          </cell>
          <cell r="C185">
            <v>32104.924604715372</v>
          </cell>
        </row>
        <row r="186">
          <cell r="B186" t="str">
            <v>11595302052213</v>
          </cell>
          <cell r="C186">
            <v>0</v>
          </cell>
        </row>
        <row r="187">
          <cell r="B187" t="str">
            <v>11595402052213</v>
          </cell>
          <cell r="C187">
            <v>16896.911193428186</v>
          </cell>
        </row>
        <row r="188">
          <cell r="B188" t="str">
            <v>11595802052210</v>
          </cell>
          <cell r="C188">
            <v>7153.4420380662505</v>
          </cell>
        </row>
        <row r="189">
          <cell r="B189" t="str">
            <v>11592402052212</v>
          </cell>
          <cell r="C189">
            <v>6000.5987372337495</v>
          </cell>
        </row>
        <row r="190">
          <cell r="B190" t="str">
            <v>12592402052210</v>
          </cell>
          <cell r="C190">
            <v>7420.9832806407776</v>
          </cell>
        </row>
        <row r="191">
          <cell r="B191" t="str">
            <v>12582102052212</v>
          </cell>
          <cell r="C191">
            <v>0</v>
          </cell>
        </row>
        <row r="192">
          <cell r="B192" t="str">
            <v>12575302052210</v>
          </cell>
          <cell r="C192">
            <v>6715.6423803147773</v>
          </cell>
        </row>
        <row r="193">
          <cell r="B193" t="str">
            <v>12592502052210</v>
          </cell>
          <cell r="C193">
            <v>0</v>
          </cell>
        </row>
        <row r="194">
          <cell r="B194" t="str">
            <v>11583202052214</v>
          </cell>
          <cell r="C194">
            <v>0</v>
          </cell>
        </row>
        <row r="195">
          <cell r="B195" t="str">
            <v>11575202052215</v>
          </cell>
          <cell r="C195">
            <v>0</v>
          </cell>
        </row>
        <row r="196">
          <cell r="B196" t="str">
            <v>11592002052215</v>
          </cell>
          <cell r="C196">
            <v>0</v>
          </cell>
        </row>
        <row r="197">
          <cell r="B197" t="str">
            <v>11592402052210</v>
          </cell>
          <cell r="C197">
            <v>0</v>
          </cell>
        </row>
        <row r="198">
          <cell r="B198" t="str">
            <v>11592902052212</v>
          </cell>
          <cell r="C198">
            <v>0</v>
          </cell>
        </row>
        <row r="199">
          <cell r="B199" t="str">
            <v>11595402052210</v>
          </cell>
          <cell r="C199">
            <v>0</v>
          </cell>
        </row>
        <row r="200">
          <cell r="B200" t="str">
            <v>12575102052210</v>
          </cell>
          <cell r="C200">
            <v>0</v>
          </cell>
        </row>
        <row r="201">
          <cell r="B201" t="str">
            <v>12583302052210</v>
          </cell>
          <cell r="C201">
            <v>0</v>
          </cell>
        </row>
        <row r="202">
          <cell r="B202" t="str">
            <v>12583402052210</v>
          </cell>
          <cell r="C202">
            <v>0</v>
          </cell>
        </row>
        <row r="203">
          <cell r="B203" t="str">
            <v>12592602052212</v>
          </cell>
          <cell r="C203">
            <v>0</v>
          </cell>
        </row>
        <row r="204">
          <cell r="B204" t="str">
            <v>12595002052210</v>
          </cell>
          <cell r="C204">
            <v>0</v>
          </cell>
        </row>
        <row r="205">
          <cell r="B205" t="str">
            <v>11595402052212</v>
          </cell>
          <cell r="C205">
            <v>0</v>
          </cell>
        </row>
        <row r="206">
          <cell r="B206" t="str">
            <v>12573302052212</v>
          </cell>
          <cell r="C206">
            <v>0</v>
          </cell>
        </row>
        <row r="207">
          <cell r="B207" t="str">
            <v>12575202052210</v>
          </cell>
          <cell r="C207">
            <v>0</v>
          </cell>
        </row>
        <row r="208">
          <cell r="B208" t="str">
            <v>12583402052212</v>
          </cell>
          <cell r="C208">
            <v>0</v>
          </cell>
        </row>
        <row r="209">
          <cell r="B209" t="str">
            <v>12595002052212</v>
          </cell>
          <cell r="C209">
            <v>0</v>
          </cell>
        </row>
        <row r="210">
          <cell r="B210" t="str">
            <v>12595502052212</v>
          </cell>
          <cell r="C210">
            <v>0</v>
          </cell>
        </row>
        <row r="211">
          <cell r="B211" t="str">
            <v>12595702052210</v>
          </cell>
          <cell r="C211">
            <v>0</v>
          </cell>
        </row>
        <row r="212">
          <cell r="B212" t="str">
            <v>12595902052212</v>
          </cell>
          <cell r="C212">
            <v>0</v>
          </cell>
        </row>
        <row r="213">
          <cell r="C213">
            <v>5070811.5535206925</v>
          </cell>
        </row>
      </sheetData>
      <sheetData sheetId="3"/>
      <sheetData sheetId="4"/>
      <sheetData sheetId="5">
        <row r="4">
          <cell r="G4">
            <v>39569</v>
          </cell>
          <cell r="H4">
            <v>39600</v>
          </cell>
          <cell r="I4">
            <v>39630</v>
          </cell>
          <cell r="J4">
            <v>39661</v>
          </cell>
          <cell r="K4">
            <v>39692</v>
          </cell>
          <cell r="L4">
            <v>39722</v>
          </cell>
          <cell r="M4">
            <v>39753</v>
          </cell>
          <cell r="N4">
            <v>39783</v>
          </cell>
          <cell r="O4">
            <v>39814</v>
          </cell>
          <cell r="P4">
            <v>39845</v>
          </cell>
          <cell r="Q4">
            <v>39873</v>
          </cell>
          <cell r="R4">
            <v>39904</v>
          </cell>
          <cell r="S4">
            <v>39934</v>
          </cell>
          <cell r="T4">
            <v>39965</v>
          </cell>
          <cell r="U4">
            <v>39995</v>
          </cell>
          <cell r="V4">
            <v>40026</v>
          </cell>
          <cell r="W4">
            <v>40057</v>
          </cell>
          <cell r="X4">
            <v>40087</v>
          </cell>
          <cell r="Y4">
            <v>40118</v>
          </cell>
          <cell r="Z4">
            <v>40148</v>
          </cell>
          <cell r="AA4">
            <v>40179</v>
          </cell>
          <cell r="AB4">
            <v>40210</v>
          </cell>
          <cell r="AC4">
            <v>40238</v>
          </cell>
          <cell r="AD4">
            <v>40269</v>
          </cell>
          <cell r="AE4">
            <v>40299</v>
          </cell>
          <cell r="AF4">
            <v>40330</v>
          </cell>
          <cell r="AG4">
            <v>40360</v>
          </cell>
          <cell r="AH4">
            <v>40391</v>
          </cell>
          <cell r="AI4">
            <v>40422</v>
          </cell>
          <cell r="AJ4">
            <v>40452</v>
          </cell>
          <cell r="AK4">
            <v>40483</v>
          </cell>
          <cell r="AL4">
            <v>40513</v>
          </cell>
          <cell r="AM4">
            <v>40544</v>
          </cell>
          <cell r="AN4">
            <v>40575</v>
          </cell>
          <cell r="AO4">
            <v>40603</v>
          </cell>
          <cell r="AP4">
            <v>40634</v>
          </cell>
          <cell r="AQ4">
            <v>40664</v>
          </cell>
          <cell r="AR4">
            <v>40695</v>
          </cell>
          <cell r="AS4">
            <v>40725</v>
          </cell>
          <cell r="AT4">
            <v>40756</v>
          </cell>
          <cell r="AU4">
            <v>40787</v>
          </cell>
          <cell r="AV4">
            <v>40817</v>
          </cell>
          <cell r="AW4">
            <v>40848</v>
          </cell>
          <cell r="AX4">
            <v>40878</v>
          </cell>
          <cell r="AY4">
            <v>40909</v>
          </cell>
          <cell r="AZ4">
            <v>40940</v>
          </cell>
          <cell r="BA4">
            <v>40969</v>
          </cell>
          <cell r="BB4">
            <v>41000</v>
          </cell>
          <cell r="BC4">
            <v>41030</v>
          </cell>
          <cell r="BD4">
            <v>41061</v>
          </cell>
          <cell r="BE4">
            <v>41091</v>
          </cell>
          <cell r="BF4">
            <v>41122</v>
          </cell>
          <cell r="BG4">
            <v>41153</v>
          </cell>
          <cell r="BH4">
            <v>41183</v>
          </cell>
          <cell r="BI4">
            <v>41214</v>
          </cell>
          <cell r="BJ4">
            <v>41244</v>
          </cell>
          <cell r="BK4" t="str">
            <v>Grand Total</v>
          </cell>
        </row>
        <row r="5">
          <cell r="T5">
            <v>14175.740000000002</v>
          </cell>
          <cell r="U5">
            <v>10623.710000000001</v>
          </cell>
          <cell r="V5">
            <v>6207.3</v>
          </cell>
          <cell r="W5">
            <v>31306.269999999997</v>
          </cell>
          <cell r="X5">
            <v>65457.130000000005</v>
          </cell>
          <cell r="Y5">
            <v>11230.800000000001</v>
          </cell>
          <cell r="Z5">
            <v>8779.2100000000009</v>
          </cell>
          <cell r="AA5">
            <v>2892.7400000000002</v>
          </cell>
          <cell r="AB5">
            <v>799.82</v>
          </cell>
          <cell r="AC5">
            <v>25051.210000000003</v>
          </cell>
          <cell r="AD5">
            <v>27054.020000000008</v>
          </cell>
          <cell r="AE5">
            <v>32999.82</v>
          </cell>
          <cell r="AF5">
            <v>24427.460000000003</v>
          </cell>
          <cell r="AG5">
            <v>26745.32</v>
          </cell>
          <cell r="AH5">
            <v>46570.689999999995</v>
          </cell>
          <cell r="AI5">
            <v>41445.69</v>
          </cell>
          <cell r="AJ5">
            <v>56800.659999999996</v>
          </cell>
          <cell r="AK5">
            <v>60023.57</v>
          </cell>
          <cell r="AL5">
            <v>95569.05</v>
          </cell>
          <cell r="AM5">
            <v>235.51</v>
          </cell>
          <cell r="AN5">
            <v>28.12</v>
          </cell>
          <cell r="AS5">
            <v>10029.15</v>
          </cell>
          <cell r="BK5">
            <v>598452.99</v>
          </cell>
        </row>
        <row r="6">
          <cell r="Q6">
            <v>257.08</v>
          </cell>
          <cell r="R6">
            <v>756.3900000000001</v>
          </cell>
          <cell r="S6">
            <v>37110.429999999978</v>
          </cell>
          <cell r="T6">
            <v>147372.29999999999</v>
          </cell>
          <cell r="U6">
            <v>158313.78000000003</v>
          </cell>
          <cell r="V6">
            <v>55675.12</v>
          </cell>
          <cell r="W6">
            <v>36819.61</v>
          </cell>
          <cell r="X6">
            <v>75303.37999999999</v>
          </cell>
          <cell r="Y6">
            <v>16643.599999999999</v>
          </cell>
          <cell r="Z6">
            <v>7947.92</v>
          </cell>
          <cell r="AB6">
            <v>-15519.730000000001</v>
          </cell>
          <cell r="AC6">
            <v>-122.58999999999999</v>
          </cell>
          <cell r="BK6">
            <v>520557.29</v>
          </cell>
        </row>
        <row r="7">
          <cell r="J7">
            <v>8946.99</v>
          </cell>
          <cell r="K7">
            <v>6318.6100000000006</v>
          </cell>
          <cell r="L7">
            <v>125.62</v>
          </cell>
          <cell r="M7">
            <v>53.870000000000005</v>
          </cell>
          <cell r="N7">
            <v>38811.42</v>
          </cell>
          <cell r="O7">
            <v>79169.930000000008</v>
          </cell>
          <cell r="P7">
            <v>41707.229999999996</v>
          </cell>
          <cell r="Q7">
            <v>135980.65999999997</v>
          </cell>
          <cell r="R7">
            <v>104320.3</v>
          </cell>
          <cell r="S7">
            <v>105461.64</v>
          </cell>
          <cell r="T7">
            <v>152558.28999999995</v>
          </cell>
          <cell r="U7">
            <v>101177.37000000001</v>
          </cell>
          <cell r="V7">
            <v>44600.759999999995</v>
          </cell>
          <cell r="W7">
            <v>-5649.16</v>
          </cell>
          <cell r="X7">
            <v>503.52</v>
          </cell>
          <cell r="Y7">
            <v>29111.23</v>
          </cell>
          <cell r="Z7">
            <v>5785.46</v>
          </cell>
          <cell r="AA7">
            <v>-400.12</v>
          </cell>
          <cell r="AB7">
            <v>-6977.8200000000006</v>
          </cell>
          <cell r="BK7">
            <v>841605.79999999993</v>
          </cell>
        </row>
        <row r="8">
          <cell r="I8">
            <v>336.1</v>
          </cell>
          <cell r="J8">
            <v>3317.2599999999998</v>
          </cell>
          <cell r="K8">
            <v>9.86</v>
          </cell>
          <cell r="L8">
            <v>79539.87000000001</v>
          </cell>
          <cell r="M8">
            <v>31416.59</v>
          </cell>
          <cell r="N8">
            <v>73229.409999999989</v>
          </cell>
          <cell r="O8">
            <v>95102.830000000016</v>
          </cell>
          <cell r="P8">
            <v>107561.18000000004</v>
          </cell>
          <cell r="Q8">
            <v>36961.87000000001</v>
          </cell>
          <cell r="R8">
            <v>27890.14</v>
          </cell>
          <cell r="S8">
            <v>10777.779999999999</v>
          </cell>
          <cell r="T8">
            <v>7324.3700000000008</v>
          </cell>
          <cell r="U8">
            <v>5290.52</v>
          </cell>
          <cell r="V8">
            <v>-2887.0000000000005</v>
          </cell>
          <cell r="W8">
            <v>31.43</v>
          </cell>
          <cell r="X8">
            <v>-61.18</v>
          </cell>
          <cell r="Y8">
            <v>18372.010000000002</v>
          </cell>
          <cell r="Z8">
            <v>722.6</v>
          </cell>
          <cell r="AC8">
            <v>-5661.62</v>
          </cell>
          <cell r="BK8">
            <v>489274.02000000014</v>
          </cell>
        </row>
        <row r="9">
          <cell r="H9">
            <v>22631.229999999996</v>
          </cell>
          <cell r="I9">
            <v>58737.150000000009</v>
          </cell>
          <cell r="J9">
            <v>58805.279999999999</v>
          </cell>
          <cell r="K9">
            <v>224269.53000000003</v>
          </cell>
          <cell r="L9">
            <v>291974.2</v>
          </cell>
          <cell r="M9">
            <v>91639.24</v>
          </cell>
          <cell r="N9">
            <v>81724.37</v>
          </cell>
          <cell r="O9">
            <v>34996.159999999989</v>
          </cell>
          <cell r="P9">
            <v>37662.579999999987</v>
          </cell>
          <cell r="Q9">
            <v>1880.8400000000001</v>
          </cell>
          <cell r="R9">
            <v>903.82999999999993</v>
          </cell>
          <cell r="S9">
            <v>6889.1699999999992</v>
          </cell>
          <cell r="T9">
            <v>3351.09</v>
          </cell>
          <cell r="U9">
            <v>3586.8100000000004</v>
          </cell>
          <cell r="V9">
            <v>7553.47</v>
          </cell>
          <cell r="W9">
            <v>-2333.0700000000006</v>
          </cell>
          <cell r="X9">
            <v>57029.549999999996</v>
          </cell>
          <cell r="Z9">
            <v>163.17000000000002</v>
          </cell>
          <cell r="AA9">
            <v>-278.64999999999998</v>
          </cell>
          <cell r="AC9">
            <v>-3482.2300000000005</v>
          </cell>
          <cell r="BK9">
            <v>977703.7200000002</v>
          </cell>
        </row>
        <row r="10">
          <cell r="H10">
            <v>22664.47</v>
          </cell>
          <cell r="I10">
            <v>169972.39</v>
          </cell>
          <cell r="J10">
            <v>89714.01999999999</v>
          </cell>
          <cell r="K10">
            <v>114857.58999999997</v>
          </cell>
          <cell r="L10">
            <v>94034.859999999986</v>
          </cell>
          <cell r="M10">
            <v>67471.19</v>
          </cell>
          <cell r="N10">
            <v>83523.31</v>
          </cell>
          <cell r="O10">
            <v>48271.810000000005</v>
          </cell>
          <cell r="P10">
            <v>77967.960000000021</v>
          </cell>
          <cell r="Q10">
            <v>117226.41000000003</v>
          </cell>
          <cell r="R10">
            <v>35735.1</v>
          </cell>
          <cell r="S10">
            <v>4050.4699999999993</v>
          </cell>
          <cell r="T10">
            <v>24937.839999999997</v>
          </cell>
          <cell r="U10">
            <v>15746.120000000003</v>
          </cell>
          <cell r="V10">
            <v>1206.79</v>
          </cell>
          <cell r="W10">
            <v>5642.5</v>
          </cell>
          <cell r="X10">
            <v>3533.3</v>
          </cell>
          <cell r="Y10">
            <v>30629.11</v>
          </cell>
          <cell r="Z10">
            <v>1212.0999999999999</v>
          </cell>
          <cell r="AA10">
            <v>2072.8699999999994</v>
          </cell>
          <cell r="AD10">
            <v>-10337.290000000001</v>
          </cell>
          <cell r="BK10">
            <v>1000132.92</v>
          </cell>
        </row>
        <row r="11">
          <cell r="K11">
            <v>1389.9099999999999</v>
          </cell>
          <cell r="L11">
            <v>5.14</v>
          </cell>
          <cell r="M11">
            <v>4.88</v>
          </cell>
          <cell r="N11">
            <v>2640.29</v>
          </cell>
          <cell r="O11">
            <v>15.350000000000001</v>
          </cell>
          <cell r="P11">
            <v>6.09</v>
          </cell>
          <cell r="Q11">
            <v>102636.37</v>
          </cell>
          <cell r="R11">
            <v>106.69</v>
          </cell>
          <cell r="S11">
            <v>106.81</v>
          </cell>
          <cell r="T11">
            <v>-62522.879999999997</v>
          </cell>
          <cell r="U11">
            <v>44081.45</v>
          </cell>
          <cell r="V11">
            <v>10886.330000000004</v>
          </cell>
          <cell r="W11">
            <v>32292.090000000004</v>
          </cell>
          <cell r="X11">
            <v>14789.539999999999</v>
          </cell>
          <cell r="Y11">
            <v>16108.470000000001</v>
          </cell>
          <cell r="Z11">
            <v>3781.2300000000005</v>
          </cell>
          <cell r="AC11">
            <v>-2436.6</v>
          </cell>
          <cell r="BK11">
            <v>163891.16000000003</v>
          </cell>
        </row>
        <row r="12">
          <cell r="T12">
            <v>16159.86</v>
          </cell>
          <cell r="U12">
            <v>46.86</v>
          </cell>
          <cell r="W12">
            <v>1839.8600000000001</v>
          </cell>
          <cell r="AA12">
            <v>995.91</v>
          </cell>
          <cell r="AH12">
            <v>103461.24999999999</v>
          </cell>
          <cell r="AI12">
            <v>57946.650000000016</v>
          </cell>
          <cell r="AJ12">
            <v>45335.219999999994</v>
          </cell>
          <cell r="AK12">
            <v>60031.669999999991</v>
          </cell>
          <cell r="AL12">
            <v>7773.3700000000008</v>
          </cell>
          <cell r="AM12">
            <v>74955.670000000013</v>
          </cell>
          <cell r="AN12">
            <v>47955.240000000005</v>
          </cell>
          <cell r="AO12">
            <v>62162.789999999994</v>
          </cell>
          <cell r="AP12">
            <v>79882.989999999991</v>
          </cell>
          <cell r="AQ12">
            <v>52450.409999999989</v>
          </cell>
          <cell r="AR12">
            <v>97752.239999999991</v>
          </cell>
          <cell r="AS12">
            <v>26641.429999999997</v>
          </cell>
          <cell r="AT12">
            <v>4807.0300000000007</v>
          </cell>
          <cell r="AU12">
            <v>3472.6099999999997</v>
          </cell>
          <cell r="AV12">
            <v>23335.72</v>
          </cell>
          <cell r="AW12">
            <v>64425.250000000007</v>
          </cell>
          <cell r="AX12">
            <v>95953.99</v>
          </cell>
          <cell r="AY12">
            <v>24780.57</v>
          </cell>
          <cell r="AZ12">
            <v>24062.98</v>
          </cell>
          <cell r="BA12">
            <v>89359.359999999986</v>
          </cell>
          <cell r="BB12">
            <v>1294.7199999999998</v>
          </cell>
          <cell r="BC12">
            <v>10038.82</v>
          </cell>
          <cell r="BD12">
            <v>215.29</v>
          </cell>
          <cell r="BE12">
            <v>338.87999999999994</v>
          </cell>
          <cell r="BF12">
            <v>-10562.93</v>
          </cell>
          <cell r="BH12">
            <v>-2240.87</v>
          </cell>
          <cell r="BI12">
            <v>-103.91999999999999</v>
          </cell>
          <cell r="BJ12">
            <v>0</v>
          </cell>
          <cell r="BK12">
            <v>1064568.9200000002</v>
          </cell>
        </row>
        <row r="13">
          <cell r="J13">
            <v>24297.170000000002</v>
          </cell>
          <cell r="K13">
            <v>2044.85</v>
          </cell>
          <cell r="L13">
            <v>9021.630000000001</v>
          </cell>
          <cell r="M13">
            <v>98657.369999999981</v>
          </cell>
          <cell r="N13">
            <v>82910.959999999992</v>
          </cell>
          <cell r="O13">
            <v>18440.600000000002</v>
          </cell>
          <cell r="P13">
            <v>5912.6900000000014</v>
          </cell>
          <cell r="Q13">
            <v>-304.14</v>
          </cell>
          <cell r="R13">
            <v>11.370000000000005</v>
          </cell>
          <cell r="S13">
            <v>39385.78</v>
          </cell>
          <cell r="T13">
            <v>10909.800000000001</v>
          </cell>
          <cell r="U13">
            <v>1772.0200000000002</v>
          </cell>
          <cell r="V13">
            <v>2531.42</v>
          </cell>
          <cell r="W13">
            <v>893.68000000000006</v>
          </cell>
          <cell r="X13">
            <v>-4838.24</v>
          </cell>
          <cell r="BK13">
            <v>291646.95999999996</v>
          </cell>
        </row>
        <row r="14">
          <cell r="J14">
            <v>41885.839999999997</v>
          </cell>
          <cell r="K14">
            <v>22247.43</v>
          </cell>
          <cell r="L14">
            <v>149074.06999999998</v>
          </cell>
          <cell r="M14">
            <v>162139.20000000001</v>
          </cell>
          <cell r="N14">
            <v>60897.71</v>
          </cell>
          <cell r="O14">
            <v>43108.750000000007</v>
          </cell>
          <cell r="P14">
            <v>264.95</v>
          </cell>
          <cell r="Q14">
            <v>3243.6500000000005</v>
          </cell>
          <cell r="R14">
            <v>176.9</v>
          </cell>
          <cell r="S14">
            <v>5244.1799999999994</v>
          </cell>
          <cell r="T14">
            <v>4627.0700000000006</v>
          </cell>
          <cell r="U14">
            <v>518.19000000000005</v>
          </cell>
          <cell r="V14">
            <v>826.71000000000026</v>
          </cell>
          <cell r="X14">
            <v>-3711.1900000000005</v>
          </cell>
          <cell r="Z14">
            <v>-1086.52</v>
          </cell>
          <cell r="BK14">
            <v>489456.94000000006</v>
          </cell>
        </row>
        <row r="15">
          <cell r="J15">
            <v>35482.930000000008</v>
          </cell>
          <cell r="K15">
            <v>6644.5700000000006</v>
          </cell>
          <cell r="L15">
            <v>85392.08</v>
          </cell>
          <cell r="M15">
            <v>54590.520000000004</v>
          </cell>
          <cell r="N15">
            <v>98483.069999999992</v>
          </cell>
          <cell r="O15">
            <v>13153.819999999998</v>
          </cell>
          <cell r="P15">
            <v>2120.98</v>
          </cell>
          <cell r="Q15">
            <v>157.75</v>
          </cell>
          <cell r="R15">
            <v>-1223.52</v>
          </cell>
          <cell r="U15">
            <v>21760.660000000003</v>
          </cell>
          <cell r="W15">
            <v>178.71999999999997</v>
          </cell>
          <cell r="X15">
            <v>-1993.2700000000002</v>
          </cell>
          <cell r="Z15">
            <v>1526.0200000000002</v>
          </cell>
          <cell r="BK15">
            <v>316274.32999999996</v>
          </cell>
        </row>
        <row r="16">
          <cell r="J16">
            <v>47503.469999999994</v>
          </cell>
          <cell r="K16">
            <v>25318.989999999998</v>
          </cell>
          <cell r="L16">
            <v>117474.96000000004</v>
          </cell>
          <cell r="M16">
            <v>164423.99000000002</v>
          </cell>
          <cell r="N16">
            <v>165198.19</v>
          </cell>
          <cell r="O16">
            <v>42379.519999999997</v>
          </cell>
          <cell r="P16">
            <v>2576.9600000000005</v>
          </cell>
          <cell r="Q16">
            <v>1451.5499999999997</v>
          </cell>
          <cell r="R16">
            <v>-1725.48</v>
          </cell>
          <cell r="T16">
            <v>6564.5300000000007</v>
          </cell>
          <cell r="U16">
            <v>3159.4300000000003</v>
          </cell>
          <cell r="V16">
            <v>41103.370000000003</v>
          </cell>
          <cell r="W16">
            <v>-978.5100000000001</v>
          </cell>
          <cell r="X16">
            <v>-4062.8799999999997</v>
          </cell>
          <cell r="Z16">
            <v>988.45000000000016</v>
          </cell>
          <cell r="BK16">
            <v>611376.54</v>
          </cell>
        </row>
        <row r="17">
          <cell r="J17">
            <v>4453.34</v>
          </cell>
          <cell r="K17">
            <v>4240.2299999999996</v>
          </cell>
          <cell r="L17">
            <v>41843.120000000003</v>
          </cell>
          <cell r="M17">
            <v>58649.21</v>
          </cell>
          <cell r="N17">
            <v>289924.06000000011</v>
          </cell>
          <cell r="O17">
            <v>26058.579999999994</v>
          </cell>
          <cell r="P17">
            <v>48214.14</v>
          </cell>
          <cell r="Q17">
            <v>5228.2099999999991</v>
          </cell>
          <cell r="R17">
            <v>1490.94</v>
          </cell>
          <cell r="S17">
            <v>116039.81000000001</v>
          </cell>
          <cell r="T17">
            <v>49451.310000000005</v>
          </cell>
          <cell r="U17">
            <v>-6981.31</v>
          </cell>
          <cell r="V17">
            <v>2371.41</v>
          </cell>
          <cell r="W17">
            <v>4187.7700000000004</v>
          </cell>
          <cell r="X17">
            <v>-4215.9699999999993</v>
          </cell>
          <cell r="Y17">
            <v>48.599999999999994</v>
          </cell>
          <cell r="Z17">
            <v>7339.46</v>
          </cell>
          <cell r="BK17">
            <v>648342.91000000015</v>
          </cell>
        </row>
        <row r="18">
          <cell r="J18">
            <v>3208.4500000000003</v>
          </cell>
          <cell r="K18">
            <v>2619.62</v>
          </cell>
          <cell r="L18">
            <v>211.66</v>
          </cell>
          <cell r="M18">
            <v>10181.020000000002</v>
          </cell>
          <cell r="N18">
            <v>1606.69</v>
          </cell>
          <cell r="O18">
            <v>1680.38</v>
          </cell>
          <cell r="P18">
            <v>12390.29</v>
          </cell>
          <cell r="Q18">
            <v>57979.719999999994</v>
          </cell>
          <cell r="R18">
            <v>16591.22</v>
          </cell>
          <cell r="S18">
            <v>118.14000000000001</v>
          </cell>
          <cell r="T18">
            <v>6056.5300000000007</v>
          </cell>
          <cell r="U18">
            <v>847.68</v>
          </cell>
          <cell r="V18">
            <v>13122.199999999999</v>
          </cell>
          <cell r="W18">
            <v>3933.79</v>
          </cell>
          <cell r="BK18">
            <v>130547.38999999998</v>
          </cell>
        </row>
        <row r="19">
          <cell r="J19">
            <v>2912.6600000000003</v>
          </cell>
          <cell r="K19">
            <v>7724.42</v>
          </cell>
          <cell r="L19">
            <v>39.36</v>
          </cell>
          <cell r="M19">
            <v>21155.57</v>
          </cell>
          <cell r="N19">
            <v>61578.330000000009</v>
          </cell>
          <cell r="O19">
            <v>134815.76999999999</v>
          </cell>
          <cell r="P19">
            <v>19900.419999999998</v>
          </cell>
          <cell r="Q19">
            <v>164170.87000000002</v>
          </cell>
          <cell r="R19">
            <v>70566.53</v>
          </cell>
          <cell r="S19">
            <v>33518.89</v>
          </cell>
          <cell r="T19">
            <v>5138.8399999999992</v>
          </cell>
          <cell r="U19">
            <v>17934.59</v>
          </cell>
          <cell r="V19">
            <v>13035.29</v>
          </cell>
          <cell r="Z19">
            <v>23223.11</v>
          </cell>
          <cell r="AB19">
            <v>953.31999999999994</v>
          </cell>
          <cell r="AC19">
            <v>65.95</v>
          </cell>
          <cell r="BK19">
            <v>576733.92000000004</v>
          </cell>
        </row>
        <row r="20">
          <cell r="J20">
            <v>3610.5000000000005</v>
          </cell>
          <cell r="K20">
            <v>7472.7300000000005</v>
          </cell>
          <cell r="L20">
            <v>16889.27</v>
          </cell>
          <cell r="M20">
            <v>4040.03</v>
          </cell>
          <cell r="N20">
            <v>226850.92</v>
          </cell>
          <cell r="O20">
            <v>441793.28000000003</v>
          </cell>
          <cell r="P20">
            <v>185223.14</v>
          </cell>
          <cell r="Q20">
            <v>112813.26</v>
          </cell>
          <cell r="R20">
            <v>1100.8</v>
          </cell>
          <cell r="S20">
            <v>363.82</v>
          </cell>
          <cell r="T20">
            <v>120.42</v>
          </cell>
          <cell r="U20">
            <v>27401.99</v>
          </cell>
          <cell r="BK20">
            <v>1027680.16</v>
          </cell>
        </row>
        <row r="21">
          <cell r="K21">
            <v>1989.1200000000001</v>
          </cell>
          <cell r="L21">
            <v>233.19</v>
          </cell>
          <cell r="M21">
            <v>2398.6300000000006</v>
          </cell>
          <cell r="N21">
            <v>14547.369999999997</v>
          </cell>
          <cell r="O21">
            <v>355.70000000000016</v>
          </cell>
          <cell r="P21">
            <v>342.55000000000007</v>
          </cell>
          <cell r="Q21">
            <v>1182.94</v>
          </cell>
          <cell r="X21">
            <v>-161.03</v>
          </cell>
          <cell r="BK21">
            <v>20888.469999999998</v>
          </cell>
        </row>
        <row r="22">
          <cell r="J22">
            <v>15823.28</v>
          </cell>
          <cell r="K22">
            <v>10640.13</v>
          </cell>
          <cell r="L22">
            <v>5380.7</v>
          </cell>
          <cell r="M22">
            <v>1408.1100000000001</v>
          </cell>
          <cell r="N22">
            <v>199959.61000000002</v>
          </cell>
          <cell r="O22">
            <v>99399.540000000023</v>
          </cell>
          <cell r="P22">
            <v>25475.609999999997</v>
          </cell>
          <cell r="Q22">
            <v>8840.4700000000012</v>
          </cell>
          <cell r="R22">
            <v>31185.719999999994</v>
          </cell>
          <cell r="S22">
            <v>24874.45</v>
          </cell>
          <cell r="T22">
            <v>36650.730000000003</v>
          </cell>
          <cell r="U22">
            <v>32850.230000000003</v>
          </cell>
          <cell r="V22">
            <v>35371.97</v>
          </cell>
          <cell r="W22">
            <v>3110</v>
          </cell>
          <cell r="X22">
            <v>315.3</v>
          </cell>
          <cell r="Y22">
            <v>72.900000000000006</v>
          </cell>
          <cell r="Z22">
            <v>6467.4400000000005</v>
          </cell>
          <cell r="BK22">
            <v>537826.19000000006</v>
          </cell>
        </row>
        <row r="23">
          <cell r="J23">
            <v>4941.3099999999995</v>
          </cell>
          <cell r="K23">
            <v>4485.9500000000007</v>
          </cell>
          <cell r="L23">
            <v>2306.8100000000004</v>
          </cell>
          <cell r="M23">
            <v>3191.96</v>
          </cell>
          <cell r="N23">
            <v>36840.249999999993</v>
          </cell>
          <cell r="O23">
            <v>51713.4</v>
          </cell>
          <cell r="P23">
            <v>98973.549999999988</v>
          </cell>
          <cell r="Q23">
            <v>135913.26</v>
          </cell>
          <cell r="R23">
            <v>215177.17999999996</v>
          </cell>
          <cell r="S23">
            <v>33109.22</v>
          </cell>
          <cell r="T23">
            <v>5077.4699999999993</v>
          </cell>
          <cell r="U23">
            <v>43897.41</v>
          </cell>
          <cell r="V23">
            <v>1734.2</v>
          </cell>
          <cell r="W23">
            <v>1640.04</v>
          </cell>
          <cell r="X23">
            <v>1150.2</v>
          </cell>
          <cell r="Y23">
            <v>-9677.56</v>
          </cell>
          <cell r="Z23">
            <v>2793.34</v>
          </cell>
          <cell r="AB23">
            <v>-243.2</v>
          </cell>
          <cell r="BK23">
            <v>633024.7899999998</v>
          </cell>
        </row>
        <row r="24">
          <cell r="K24">
            <v>5762.6500000000005</v>
          </cell>
          <cell r="L24">
            <v>21.32</v>
          </cell>
          <cell r="M24">
            <v>35385.51</v>
          </cell>
          <cell r="N24">
            <v>27308.730000000003</v>
          </cell>
          <cell r="O24">
            <v>1158.3700000000001</v>
          </cell>
          <cell r="P24">
            <v>16376.92</v>
          </cell>
          <cell r="Q24">
            <v>111456.59999999999</v>
          </cell>
          <cell r="R24">
            <v>126091.15000000001</v>
          </cell>
          <cell r="S24">
            <v>23734.199999999993</v>
          </cell>
          <cell r="T24">
            <v>7829.8899999999994</v>
          </cell>
          <cell r="U24">
            <v>8001.5300000000007</v>
          </cell>
          <cell r="V24">
            <v>36543.19</v>
          </cell>
          <cell r="W24">
            <v>9204.0500000000011</v>
          </cell>
          <cell r="X24">
            <v>23002.47</v>
          </cell>
          <cell r="Y24">
            <v>24.3</v>
          </cell>
          <cell r="Z24">
            <v>-295.04999999999995</v>
          </cell>
          <cell r="BK24">
            <v>431605.83000000007</v>
          </cell>
        </row>
        <row r="25">
          <cell r="K25">
            <v>7046.79</v>
          </cell>
          <cell r="L25">
            <v>4398.3600000000006</v>
          </cell>
          <cell r="M25">
            <v>23645.56</v>
          </cell>
          <cell r="N25">
            <v>79923.180000000008</v>
          </cell>
          <cell r="O25">
            <v>30513.199999999993</v>
          </cell>
          <cell r="P25">
            <v>99473.869999999966</v>
          </cell>
          <cell r="Q25">
            <v>188538.68999999997</v>
          </cell>
          <cell r="R25">
            <v>109605.27</v>
          </cell>
          <cell r="S25">
            <v>83368.470000000016</v>
          </cell>
          <cell r="T25">
            <v>6310.1600000000008</v>
          </cell>
          <cell r="U25">
            <v>2523.6799999999998</v>
          </cell>
          <cell r="V25">
            <v>39796.06</v>
          </cell>
          <cell r="W25">
            <v>5041.7400000000007</v>
          </cell>
          <cell r="X25">
            <v>10739.150000000001</v>
          </cell>
          <cell r="Y25">
            <v>-10444.58</v>
          </cell>
          <cell r="Z25">
            <v>508.68</v>
          </cell>
          <cell r="BK25">
            <v>680988.28000000014</v>
          </cell>
        </row>
        <row r="26">
          <cell r="M26">
            <v>1348.26</v>
          </cell>
          <cell r="N26">
            <v>3009.5700000000006</v>
          </cell>
          <cell r="O26">
            <v>16.559999999999999</v>
          </cell>
          <cell r="P26">
            <v>6.5600000000000005</v>
          </cell>
          <cell r="Q26">
            <v>6.57</v>
          </cell>
          <cell r="R26">
            <v>4.3899999999999997</v>
          </cell>
          <cell r="S26">
            <v>4.3899999999999997</v>
          </cell>
          <cell r="T26">
            <v>14.06</v>
          </cell>
          <cell r="U26">
            <v>-2846.8500000000004</v>
          </cell>
          <cell r="V26">
            <v>-1563.5099999999998</v>
          </cell>
          <cell r="BK26">
            <v>2.2737367544323206E-12</v>
          </cell>
        </row>
        <row r="27">
          <cell r="M27">
            <v>5864.74</v>
          </cell>
          <cell r="N27">
            <v>5005.4100000000008</v>
          </cell>
          <cell r="O27">
            <v>13879.279999999997</v>
          </cell>
          <cell r="P27">
            <v>22667.670000000002</v>
          </cell>
          <cell r="Q27">
            <v>5099.8799999999983</v>
          </cell>
          <cell r="R27">
            <v>122.64000000000001</v>
          </cell>
          <cell r="S27">
            <v>988.34</v>
          </cell>
          <cell r="T27">
            <v>-302.3</v>
          </cell>
          <cell r="U27">
            <v>-432.56</v>
          </cell>
          <cell r="V27">
            <v>8963.4</v>
          </cell>
          <cell r="W27">
            <v>355.49</v>
          </cell>
          <cell r="X27">
            <v>-608.54999999999995</v>
          </cell>
          <cell r="BK27">
            <v>61603.439999999995</v>
          </cell>
        </row>
        <row r="28">
          <cell r="K28">
            <v>106.08000000000001</v>
          </cell>
          <cell r="L28">
            <v>0.39</v>
          </cell>
          <cell r="M28">
            <v>10574.28</v>
          </cell>
          <cell r="N28">
            <v>6440.14</v>
          </cell>
          <cell r="O28">
            <v>4241.3</v>
          </cell>
          <cell r="P28">
            <v>22278.01</v>
          </cell>
          <cell r="Q28">
            <v>40074.44</v>
          </cell>
          <cell r="R28">
            <v>30053.29</v>
          </cell>
          <cell r="S28">
            <v>2454.0100000000002</v>
          </cell>
          <cell r="T28">
            <v>4726.62</v>
          </cell>
          <cell r="U28">
            <v>13556.579999999998</v>
          </cell>
          <cell r="V28">
            <v>26279.660000000003</v>
          </cell>
          <cell r="W28">
            <v>123.19999999999986</v>
          </cell>
          <cell r="X28">
            <v>18580.260000000002</v>
          </cell>
          <cell r="BK28">
            <v>179488.26</v>
          </cell>
        </row>
        <row r="29">
          <cell r="G29">
            <v>32614.09</v>
          </cell>
          <cell r="H29">
            <v>88.06</v>
          </cell>
          <cell r="I29">
            <v>-88.06</v>
          </cell>
          <cell r="Q29">
            <v>974.89</v>
          </cell>
          <cell r="R29">
            <v>32.57</v>
          </cell>
          <cell r="S29">
            <v>32.57</v>
          </cell>
          <cell r="T29">
            <v>-279.22000000000003</v>
          </cell>
          <cell r="BK29">
            <v>33374.9</v>
          </cell>
        </row>
        <row r="30">
          <cell r="Q30">
            <v>17702.48</v>
          </cell>
          <cell r="R30">
            <v>17.7</v>
          </cell>
          <cell r="S30">
            <v>12165.12</v>
          </cell>
          <cell r="T30">
            <v>164149.66</v>
          </cell>
          <cell r="U30">
            <v>103822.87000000001</v>
          </cell>
          <cell r="V30">
            <v>145934.98000000001</v>
          </cell>
          <cell r="W30">
            <v>79567.669999999984</v>
          </cell>
          <cell r="X30">
            <v>154262.70000000001</v>
          </cell>
          <cell r="Y30">
            <v>202163.49999999997</v>
          </cell>
          <cell r="Z30">
            <v>316988.91000000003</v>
          </cell>
          <cell r="AA30">
            <v>-6620.2300000000005</v>
          </cell>
          <cell r="AB30">
            <v>-9081.52</v>
          </cell>
          <cell r="BK30">
            <v>1181073.8400000001</v>
          </cell>
        </row>
        <row r="31">
          <cell r="H31">
            <v>18989</v>
          </cell>
          <cell r="I31">
            <v>290060.03000000003</v>
          </cell>
          <cell r="J31">
            <v>955.5</v>
          </cell>
          <cell r="K31">
            <v>172216.55000000002</v>
          </cell>
          <cell r="M31">
            <v>12221.4</v>
          </cell>
          <cell r="N31">
            <v>1359.0300000000002</v>
          </cell>
          <cell r="P31">
            <v>5310.8</v>
          </cell>
          <cell r="Q31">
            <v>9336.7900000000009</v>
          </cell>
          <cell r="S31">
            <v>-8.2600000000000016</v>
          </cell>
          <cell r="W31">
            <v>117.13</v>
          </cell>
          <cell r="X31">
            <v>-7.5900000000000007</v>
          </cell>
          <cell r="BK31">
            <v>510550.38000000006</v>
          </cell>
        </row>
        <row r="32">
          <cell r="H32">
            <v>42616.130000000005</v>
          </cell>
          <cell r="I32">
            <v>269939.44000000006</v>
          </cell>
          <cell r="J32">
            <v>44797.960000000006</v>
          </cell>
          <cell r="K32">
            <v>127875.75</v>
          </cell>
          <cell r="L32">
            <v>50435.709999999992</v>
          </cell>
          <cell r="M32">
            <v>8836.08</v>
          </cell>
          <cell r="N32">
            <v>29545.57</v>
          </cell>
          <cell r="O32">
            <v>2272.0200000000004</v>
          </cell>
          <cell r="P32">
            <v>23626.240000000002</v>
          </cell>
          <cell r="Q32">
            <v>53258.77</v>
          </cell>
          <cell r="R32">
            <v>0</v>
          </cell>
          <cell r="S32">
            <v>340.03</v>
          </cell>
          <cell r="T32">
            <v>2479.54</v>
          </cell>
          <cell r="U32">
            <v>113.97</v>
          </cell>
          <cell r="BK32">
            <v>656137.21000000008</v>
          </cell>
        </row>
        <row r="33">
          <cell r="H33">
            <v>61954.119999999995</v>
          </cell>
          <cell r="I33">
            <v>24407.509999999995</v>
          </cell>
          <cell r="J33">
            <v>122918.15000000002</v>
          </cell>
          <cell r="K33">
            <v>138350.04</v>
          </cell>
          <cell r="L33">
            <v>154466.28999999998</v>
          </cell>
          <cell r="M33">
            <v>43598.29</v>
          </cell>
          <cell r="N33">
            <v>83108.090000000011</v>
          </cell>
          <cell r="O33">
            <v>245.78999999999976</v>
          </cell>
          <cell r="P33">
            <v>25516.23</v>
          </cell>
          <cell r="Q33">
            <v>14352.230000000001</v>
          </cell>
          <cell r="R33">
            <v>257.17</v>
          </cell>
          <cell r="S33">
            <v>601.1</v>
          </cell>
          <cell r="T33">
            <v>2005.93</v>
          </cell>
          <cell r="U33">
            <v>-3016.7500000000005</v>
          </cell>
          <cell r="V33">
            <v>3563.34</v>
          </cell>
          <cell r="X33">
            <v>-1712.27</v>
          </cell>
          <cell r="BK33">
            <v>670615.26</v>
          </cell>
        </row>
        <row r="34">
          <cell r="G34">
            <v>54308.13</v>
          </cell>
          <cell r="H34">
            <v>33238.429999999993</v>
          </cell>
          <cell r="I34">
            <v>50804.560000000005</v>
          </cell>
          <cell r="J34">
            <v>76165.710000000036</v>
          </cell>
          <cell r="K34">
            <v>-31991.46</v>
          </cell>
          <cell r="L34">
            <v>13544.39</v>
          </cell>
          <cell r="M34">
            <v>35819.460000000006</v>
          </cell>
          <cell r="N34">
            <v>-1741.98</v>
          </cell>
          <cell r="P34">
            <v>9906.68</v>
          </cell>
          <cell r="Q34">
            <v>2824.65</v>
          </cell>
          <cell r="S34">
            <v>0</v>
          </cell>
          <cell r="U34">
            <v>4162.2699999999995</v>
          </cell>
          <cell r="BK34">
            <v>247040.84</v>
          </cell>
        </row>
        <row r="35">
          <cell r="I35">
            <v>71707.64</v>
          </cell>
          <cell r="J35">
            <v>42201.409999999996</v>
          </cell>
          <cell r="K35">
            <v>104351.49000000002</v>
          </cell>
          <cell r="L35">
            <v>163683.25</v>
          </cell>
          <cell r="M35">
            <v>31969.5</v>
          </cell>
          <cell r="N35">
            <v>75329.259999999995</v>
          </cell>
          <cell r="O35">
            <v>7632.3899999999994</v>
          </cell>
          <cell r="P35">
            <v>3422.34</v>
          </cell>
          <cell r="Q35">
            <v>4016.99</v>
          </cell>
          <cell r="R35">
            <v>6103.92</v>
          </cell>
          <cell r="S35">
            <v>-1923.64</v>
          </cell>
          <cell r="T35">
            <v>5546.4299999999994</v>
          </cell>
          <cell r="U35">
            <v>911.17000000000007</v>
          </cell>
          <cell r="V35">
            <v>7201.2800000000007</v>
          </cell>
          <cell r="W35">
            <v>-4918.95</v>
          </cell>
          <cell r="X35">
            <v>-2059.4899999999998</v>
          </cell>
          <cell r="BK35">
            <v>515174.99000000005</v>
          </cell>
        </row>
        <row r="36">
          <cell r="I36">
            <v>90639.489999999991</v>
          </cell>
          <cell r="J36">
            <v>25578.07</v>
          </cell>
          <cell r="K36">
            <v>48874.729999999989</v>
          </cell>
          <cell r="L36">
            <v>313801.25999999995</v>
          </cell>
          <cell r="M36">
            <v>53613.16</v>
          </cell>
          <cell r="N36">
            <v>117739.18000000001</v>
          </cell>
          <cell r="O36">
            <v>18954.399999999994</v>
          </cell>
          <cell r="P36">
            <v>46315.15</v>
          </cell>
          <cell r="Q36">
            <v>2079.42</v>
          </cell>
          <cell r="R36">
            <v>0</v>
          </cell>
          <cell r="S36">
            <v>11334.840000000002</v>
          </cell>
          <cell r="T36">
            <v>607.99</v>
          </cell>
          <cell r="U36">
            <v>21.8</v>
          </cell>
          <cell r="X36">
            <v>-2190.4499999999998</v>
          </cell>
          <cell r="Z36">
            <v>-3707.04</v>
          </cell>
          <cell r="BK36">
            <v>723662.00000000012</v>
          </cell>
        </row>
        <row r="37">
          <cell r="I37">
            <v>31678.98</v>
          </cell>
          <cell r="J37">
            <v>20505.25</v>
          </cell>
          <cell r="K37">
            <v>4716.75</v>
          </cell>
          <cell r="L37">
            <v>38292.99</v>
          </cell>
          <cell r="M37">
            <v>17352.670000000002</v>
          </cell>
          <cell r="N37">
            <v>16327.78</v>
          </cell>
          <cell r="O37">
            <v>-183.27</v>
          </cell>
          <cell r="P37">
            <v>12528.03</v>
          </cell>
          <cell r="Q37">
            <v>17967.73</v>
          </cell>
          <cell r="R37">
            <v>-263.7</v>
          </cell>
          <cell r="S37">
            <v>11123.89</v>
          </cell>
          <cell r="U37">
            <v>-11057.95</v>
          </cell>
          <cell r="BK37">
            <v>158989.14999999997</v>
          </cell>
        </row>
        <row r="38">
          <cell r="H38">
            <v>1567.8000000000002</v>
          </cell>
          <cell r="I38">
            <v>37452.140000000007</v>
          </cell>
          <cell r="J38">
            <v>21672.74</v>
          </cell>
          <cell r="K38">
            <v>-37883.14</v>
          </cell>
          <cell r="M38">
            <v>2302.0500000000002</v>
          </cell>
          <cell r="N38">
            <v>1123.48</v>
          </cell>
          <cell r="P38">
            <v>612.79999999999995</v>
          </cell>
          <cell r="R38">
            <v>0</v>
          </cell>
          <cell r="V38">
            <v>1311.06</v>
          </cell>
          <cell r="BK38">
            <v>28158.930000000008</v>
          </cell>
        </row>
        <row r="39">
          <cell r="J39">
            <v>912.96</v>
          </cell>
          <cell r="K39">
            <v>2.46</v>
          </cell>
          <cell r="L39">
            <v>1719.2799999999997</v>
          </cell>
          <cell r="M39">
            <v>1919.66</v>
          </cell>
          <cell r="N39">
            <v>9521.7900000000009</v>
          </cell>
          <cell r="O39">
            <v>53.49</v>
          </cell>
          <cell r="P39">
            <v>-112.51</v>
          </cell>
          <cell r="R39">
            <v>-645.55999999999995</v>
          </cell>
          <cell r="S39">
            <v>3311.6400000000003</v>
          </cell>
          <cell r="BK39">
            <v>16683.210000000003</v>
          </cell>
        </row>
        <row r="40">
          <cell r="J40">
            <v>8506.2199999999993</v>
          </cell>
          <cell r="K40">
            <v>1663.47</v>
          </cell>
          <cell r="L40">
            <v>38354.080000000009</v>
          </cell>
          <cell r="M40">
            <v>29406.29</v>
          </cell>
          <cell r="N40">
            <v>1388.4299999999998</v>
          </cell>
          <cell r="P40">
            <v>-127.35000000000001</v>
          </cell>
          <cell r="R40">
            <v>-669.64</v>
          </cell>
          <cell r="S40">
            <v>13744.73</v>
          </cell>
          <cell r="V40">
            <v>319.58</v>
          </cell>
          <cell r="BK40">
            <v>92585.809999999983</v>
          </cell>
        </row>
        <row r="41">
          <cell r="J41">
            <v>10211.390000000001</v>
          </cell>
          <cell r="K41">
            <v>661.92</v>
          </cell>
          <cell r="L41">
            <v>11741.97</v>
          </cell>
          <cell r="M41">
            <v>35998.910000000011</v>
          </cell>
          <cell r="N41">
            <v>21279.339999999997</v>
          </cell>
          <cell r="O41">
            <v>92.69</v>
          </cell>
          <cell r="P41">
            <v>1758.01</v>
          </cell>
          <cell r="Q41">
            <v>20439.250000000004</v>
          </cell>
          <cell r="R41">
            <v>-527.13</v>
          </cell>
          <cell r="S41">
            <v>12416.14</v>
          </cell>
          <cell r="T41">
            <v>1444.19</v>
          </cell>
          <cell r="V41">
            <v>710.4</v>
          </cell>
          <cell r="Z41">
            <v>-942.47</v>
          </cell>
          <cell r="BK41">
            <v>115284.60999999999</v>
          </cell>
        </row>
        <row r="42">
          <cell r="J42">
            <v>6948.59</v>
          </cell>
          <cell r="K42">
            <v>1533.02</v>
          </cell>
          <cell r="L42">
            <v>25004.989999999998</v>
          </cell>
          <cell r="M42">
            <v>33388.93</v>
          </cell>
          <cell r="N42">
            <v>13025.899999999998</v>
          </cell>
          <cell r="P42">
            <v>-103.22</v>
          </cell>
          <cell r="R42">
            <v>-327.9</v>
          </cell>
          <cell r="S42">
            <v>340.03</v>
          </cell>
          <cell r="Z42">
            <v>-1014.0799999999999</v>
          </cell>
          <cell r="BK42">
            <v>78796.259999999995</v>
          </cell>
        </row>
        <row r="43">
          <cell r="K43">
            <v>14890.76</v>
          </cell>
          <cell r="L43">
            <v>71796.340000000026</v>
          </cell>
          <cell r="M43">
            <v>193578.04</v>
          </cell>
          <cell r="N43">
            <v>308150.8</v>
          </cell>
          <cell r="O43">
            <v>6508.1499999999987</v>
          </cell>
          <cell r="P43">
            <v>13251.53</v>
          </cell>
          <cell r="Q43">
            <v>91599.41</v>
          </cell>
          <cell r="R43">
            <v>472.59999999999997</v>
          </cell>
          <cell r="S43">
            <v>47070.12000000001</v>
          </cell>
          <cell r="T43">
            <v>11307.75</v>
          </cell>
          <cell r="U43">
            <v>1739.4199999999998</v>
          </cell>
          <cell r="V43">
            <v>929.93000000000006</v>
          </cell>
          <cell r="W43">
            <v>-6138.37</v>
          </cell>
          <cell r="Z43">
            <v>-1231.3900000000001</v>
          </cell>
          <cell r="AA43">
            <v>6476.87</v>
          </cell>
          <cell r="BK43">
            <v>760401.96000000008</v>
          </cell>
        </row>
        <row r="44">
          <cell r="K44">
            <v>8780.4600000000009</v>
          </cell>
          <cell r="L44">
            <v>49406.57</v>
          </cell>
          <cell r="M44">
            <v>79428.210000000006</v>
          </cell>
          <cell r="N44">
            <v>208913.71</v>
          </cell>
          <cell r="O44">
            <v>25227.879999999997</v>
          </cell>
          <cell r="P44">
            <v>87770.640000000014</v>
          </cell>
          <cell r="Q44">
            <v>82074.110000000015</v>
          </cell>
          <cell r="R44">
            <v>25958.329999999998</v>
          </cell>
          <cell r="S44">
            <v>66041.69</v>
          </cell>
          <cell r="T44">
            <v>31331</v>
          </cell>
          <cell r="U44">
            <v>17064.59</v>
          </cell>
          <cell r="V44">
            <v>-1501.9300000000005</v>
          </cell>
          <cell r="W44">
            <v>5.9300000000000006</v>
          </cell>
          <cell r="X44">
            <v>-5092.3900000000003</v>
          </cell>
          <cell r="Y44">
            <v>-1095</v>
          </cell>
          <cell r="Z44">
            <v>-5968.97</v>
          </cell>
          <cell r="BK44">
            <v>668344.82999999984</v>
          </cell>
        </row>
        <row r="45">
          <cell r="K45">
            <v>9853.4500000000007</v>
          </cell>
          <cell r="L45">
            <v>47651.81</v>
          </cell>
          <cell r="M45">
            <v>14672.590000000002</v>
          </cell>
          <cell r="N45">
            <v>211706.18</v>
          </cell>
          <cell r="O45">
            <v>23187.479999999996</v>
          </cell>
          <cell r="P45">
            <v>65486.55000000001</v>
          </cell>
          <cell r="Q45">
            <v>190645.12999999998</v>
          </cell>
          <cell r="R45">
            <v>153492.66</v>
          </cell>
          <cell r="S45">
            <v>24240.120000000003</v>
          </cell>
          <cell r="T45">
            <v>87693.21</v>
          </cell>
          <cell r="U45">
            <v>7889.2400000000007</v>
          </cell>
          <cell r="V45">
            <v>-3288.7799999999997</v>
          </cell>
          <cell r="W45">
            <v>560.86000000000013</v>
          </cell>
          <cell r="X45">
            <v>-5666.16</v>
          </cell>
          <cell r="Z45">
            <v>-7728.24</v>
          </cell>
          <cell r="AA45">
            <v>-208.15</v>
          </cell>
          <cell r="BK45">
            <v>820187.94999999984</v>
          </cell>
        </row>
        <row r="46">
          <cell r="P46">
            <v>12839.48</v>
          </cell>
          <cell r="Q46">
            <v>36267.35</v>
          </cell>
          <cell r="R46">
            <v>33315.94</v>
          </cell>
          <cell r="S46">
            <v>3979.14</v>
          </cell>
          <cell r="T46">
            <v>138.97</v>
          </cell>
          <cell r="Z46">
            <v>9501.2300000000014</v>
          </cell>
          <cell r="AG46">
            <v>-121.77</v>
          </cell>
          <cell r="BK46">
            <v>95920.34</v>
          </cell>
        </row>
        <row r="47">
          <cell r="P47">
            <v>37803.240000000005</v>
          </cell>
          <cell r="Q47">
            <v>28068.75</v>
          </cell>
          <cell r="R47">
            <v>172042.6400000001</v>
          </cell>
          <cell r="S47">
            <v>240405.77</v>
          </cell>
          <cell r="T47">
            <v>108197.85999999999</v>
          </cell>
          <cell r="U47">
            <v>63295.640000000021</v>
          </cell>
          <cell r="V47">
            <v>64115.170000000013</v>
          </cell>
          <cell r="W47">
            <v>28835.18</v>
          </cell>
          <cell r="X47">
            <v>107826.84</v>
          </cell>
          <cell r="Y47">
            <v>11340.9</v>
          </cell>
          <cell r="Z47">
            <v>31346.859999999997</v>
          </cell>
          <cell r="AA47">
            <v>8910.32</v>
          </cell>
          <cell r="BK47">
            <v>902189.17000000016</v>
          </cell>
        </row>
        <row r="48">
          <cell r="K48">
            <v>5943.5900000000011</v>
          </cell>
          <cell r="L48">
            <v>19950.829999999998</v>
          </cell>
          <cell r="M48">
            <v>19278.110000000004</v>
          </cell>
          <cell r="N48">
            <v>103484.25000000001</v>
          </cell>
          <cell r="O48">
            <v>1180.5600000000002</v>
          </cell>
          <cell r="P48">
            <v>34846.36</v>
          </cell>
          <cell r="Q48">
            <v>5974.52</v>
          </cell>
          <cell r="R48">
            <v>-367.23</v>
          </cell>
          <cell r="S48">
            <v>962.26</v>
          </cell>
          <cell r="T48">
            <v>9695.9900000000016</v>
          </cell>
          <cell r="W48">
            <v>1010.4899999999999</v>
          </cell>
          <cell r="AH48">
            <v>2311.17</v>
          </cell>
          <cell r="BK48">
            <v>204270.9</v>
          </cell>
        </row>
        <row r="49">
          <cell r="G49">
            <v>30487.62</v>
          </cell>
          <cell r="H49">
            <v>80728.13</v>
          </cell>
          <cell r="I49">
            <v>1566.38</v>
          </cell>
          <cell r="J49">
            <v>4707.82</v>
          </cell>
          <cell r="K49">
            <v>1432.32</v>
          </cell>
          <cell r="L49">
            <v>17303.580000000002</v>
          </cell>
          <cell r="M49">
            <v>19725.5</v>
          </cell>
          <cell r="N49">
            <v>-351.98000000000008</v>
          </cell>
          <cell r="BK49">
            <v>155599.37000000002</v>
          </cell>
        </row>
        <row r="50">
          <cell r="Q50">
            <v>40098.35</v>
          </cell>
          <cell r="R50">
            <v>124428.40000000001</v>
          </cell>
          <cell r="S50">
            <v>138729.69</v>
          </cell>
          <cell r="T50">
            <v>107659.13999999998</v>
          </cell>
          <cell r="U50">
            <v>26722.210000000006</v>
          </cell>
          <cell r="V50">
            <v>-1237.8800000000001</v>
          </cell>
          <cell r="W50">
            <v>25983.51</v>
          </cell>
          <cell r="X50">
            <v>45548.270000000004</v>
          </cell>
          <cell r="Y50">
            <v>2431.2600000000002</v>
          </cell>
          <cell r="Z50">
            <v>-5593.5400000000009</v>
          </cell>
          <cell r="AC50">
            <v>164.31</v>
          </cell>
          <cell r="BK50">
            <v>504933.72000000003</v>
          </cell>
        </row>
        <row r="51">
          <cell r="J51">
            <v>30460.240000000002</v>
          </cell>
          <cell r="K51">
            <v>28570.149999999998</v>
          </cell>
          <cell r="L51">
            <v>55161.279999999999</v>
          </cell>
          <cell r="M51">
            <v>36399.99</v>
          </cell>
          <cell r="N51">
            <v>360616.73</v>
          </cell>
          <cell r="O51">
            <v>150373.04</v>
          </cell>
          <cell r="P51">
            <v>123093.38000000002</v>
          </cell>
          <cell r="Q51">
            <v>251108.13000000003</v>
          </cell>
          <cell r="R51">
            <v>84464.849999999991</v>
          </cell>
          <cell r="S51">
            <v>18510.120000000003</v>
          </cell>
          <cell r="T51">
            <v>25683.010000000002</v>
          </cell>
          <cell r="U51">
            <v>8736.69</v>
          </cell>
          <cell r="V51">
            <v>51654.2</v>
          </cell>
          <cell r="W51">
            <v>4990.7599999999993</v>
          </cell>
          <cell r="X51">
            <v>139323.35</v>
          </cell>
          <cell r="Z51">
            <v>-2852.37</v>
          </cell>
          <cell r="AG51">
            <v>1015.2399999999999</v>
          </cell>
          <cell r="AH51">
            <v>-1072.3600000000001</v>
          </cell>
          <cell r="BK51">
            <v>1366236.43</v>
          </cell>
        </row>
        <row r="52">
          <cell r="J52">
            <v>46120.12</v>
          </cell>
          <cell r="K52">
            <v>8916.74</v>
          </cell>
          <cell r="L52">
            <v>93127.670000000013</v>
          </cell>
          <cell r="M52">
            <v>199891.74999999997</v>
          </cell>
          <cell r="N52">
            <v>363051.41000000003</v>
          </cell>
          <cell r="O52">
            <v>9514.3900000000012</v>
          </cell>
          <cell r="P52">
            <v>13771.230000000001</v>
          </cell>
          <cell r="Q52">
            <v>17237.11</v>
          </cell>
          <cell r="R52">
            <v>984.87</v>
          </cell>
          <cell r="S52">
            <v>5710.8</v>
          </cell>
          <cell r="T52">
            <v>2662.29</v>
          </cell>
          <cell r="U52">
            <v>14597.18</v>
          </cell>
          <cell r="V52">
            <v>950.66000000000008</v>
          </cell>
          <cell r="W52">
            <v>-6353.32</v>
          </cell>
          <cell r="Z52">
            <v>-7979.5599999999995</v>
          </cell>
          <cell r="AB52">
            <v>1090.99</v>
          </cell>
          <cell r="AC52">
            <v>-18506.260000000002</v>
          </cell>
          <cell r="BK52">
            <v>744788.07000000018</v>
          </cell>
        </row>
        <row r="53">
          <cell r="K53">
            <v>1050.26</v>
          </cell>
          <cell r="L53">
            <v>606.1400000000001</v>
          </cell>
          <cell r="M53">
            <v>1616.71</v>
          </cell>
          <cell r="N53">
            <v>13464.45</v>
          </cell>
          <cell r="O53">
            <v>232.20999999999998</v>
          </cell>
          <cell r="P53">
            <v>4926.1000000000004</v>
          </cell>
          <cell r="Q53">
            <v>2723.5299999999997</v>
          </cell>
          <cell r="R53">
            <v>24.62</v>
          </cell>
          <cell r="S53">
            <v>24.64</v>
          </cell>
          <cell r="T53">
            <v>2260.86</v>
          </cell>
          <cell r="U53">
            <v>78.09</v>
          </cell>
          <cell r="V53">
            <v>64.63</v>
          </cell>
          <cell r="W53">
            <v>70.02</v>
          </cell>
          <cell r="X53">
            <v>-63.92</v>
          </cell>
          <cell r="Y53">
            <v>-521.09</v>
          </cell>
          <cell r="BK53">
            <v>26557.250000000004</v>
          </cell>
        </row>
        <row r="54">
          <cell r="K54">
            <v>2238.81</v>
          </cell>
          <cell r="L54">
            <v>8095.0599999999995</v>
          </cell>
          <cell r="M54">
            <v>8399.9500000000007</v>
          </cell>
          <cell r="N54">
            <v>50534.970000000008</v>
          </cell>
          <cell r="O54">
            <v>103.52</v>
          </cell>
          <cell r="P54">
            <v>5746.96</v>
          </cell>
          <cell r="Q54">
            <v>1202.49</v>
          </cell>
          <cell r="R54">
            <v>-21.330000000000002</v>
          </cell>
          <cell r="S54">
            <v>888.34</v>
          </cell>
          <cell r="T54">
            <v>1272.04</v>
          </cell>
          <cell r="U54">
            <v>3345.08</v>
          </cell>
          <cell r="X54">
            <v>-2601.2600000000002</v>
          </cell>
          <cell r="BK54">
            <v>79204.630000000019</v>
          </cell>
        </row>
        <row r="55">
          <cell r="Q55">
            <v>1672.14</v>
          </cell>
          <cell r="R55">
            <v>1.67</v>
          </cell>
          <cell r="S55">
            <v>1.67</v>
          </cell>
          <cell r="T55">
            <v>12808.64</v>
          </cell>
          <cell r="U55">
            <v>797.85</v>
          </cell>
          <cell r="W55">
            <v>3310.2400000000002</v>
          </cell>
          <cell r="AA55">
            <v>2550.0500000000002</v>
          </cell>
          <cell r="AB55">
            <v>588.84</v>
          </cell>
          <cell r="AC55">
            <v>77102.55</v>
          </cell>
          <cell r="AD55">
            <v>136103.53</v>
          </cell>
          <cell r="AE55">
            <v>81159.51999999999</v>
          </cell>
          <cell r="AF55">
            <v>18514.03</v>
          </cell>
          <cell r="AG55">
            <v>1752.98</v>
          </cell>
          <cell r="AH55">
            <v>18863.03</v>
          </cell>
          <cell r="AI55">
            <v>7419.9699999999993</v>
          </cell>
          <cell r="AJ55">
            <v>60852.44</v>
          </cell>
          <cell r="AK55">
            <v>63068.36</v>
          </cell>
          <cell r="AL55">
            <v>33685.700000000004</v>
          </cell>
          <cell r="AM55">
            <v>-4920.1000000000004</v>
          </cell>
          <cell r="AO55">
            <v>1122.98</v>
          </cell>
          <cell r="BK55">
            <v>516456.08999999997</v>
          </cell>
        </row>
        <row r="56">
          <cell r="W56">
            <v>21558.62</v>
          </cell>
          <cell r="X56">
            <v>38.81</v>
          </cell>
          <cell r="Y56">
            <v>71.28</v>
          </cell>
          <cell r="Z56">
            <v>199.29000000000002</v>
          </cell>
          <cell r="AA56">
            <v>4072.8300000000004</v>
          </cell>
          <cell r="AB56">
            <v>181.57999999999998</v>
          </cell>
          <cell r="AC56">
            <v>182.86</v>
          </cell>
          <cell r="AD56">
            <v>80520.810000000012</v>
          </cell>
          <cell r="AE56">
            <v>130706.65</v>
          </cell>
          <cell r="AF56">
            <v>127847.48000000001</v>
          </cell>
          <cell r="AG56">
            <v>169270.99</v>
          </cell>
          <cell r="AH56">
            <v>128043.08</v>
          </cell>
          <cell r="AI56">
            <v>246668.40000000002</v>
          </cell>
          <cell r="AJ56">
            <v>90690.32</v>
          </cell>
          <cell r="AK56">
            <v>989.9</v>
          </cell>
          <cell r="AL56">
            <v>-12202.88</v>
          </cell>
          <cell r="BK56">
            <v>988840.02</v>
          </cell>
        </row>
        <row r="57">
          <cell r="AA57">
            <v>22941.55</v>
          </cell>
          <cell r="AB57">
            <v>160.59</v>
          </cell>
          <cell r="AC57">
            <v>80.86</v>
          </cell>
          <cell r="AD57">
            <v>162.28</v>
          </cell>
          <cell r="AE57">
            <v>5.84</v>
          </cell>
          <cell r="AF57">
            <v>4.67</v>
          </cell>
          <cell r="AN57">
            <v>11.68</v>
          </cell>
          <cell r="AO57">
            <v>87831.65</v>
          </cell>
          <cell r="AP57">
            <v>69360.429999999993</v>
          </cell>
          <cell r="AQ57">
            <v>69617.430000000008</v>
          </cell>
          <cell r="AR57">
            <v>34051.280000000006</v>
          </cell>
          <cell r="AS57">
            <v>34517.08</v>
          </cell>
          <cell r="AT57">
            <v>15514.279999999999</v>
          </cell>
          <cell r="AU57">
            <v>28299.98</v>
          </cell>
          <cell r="AV57">
            <v>20825.080000000002</v>
          </cell>
          <cell r="AW57">
            <v>85218.4</v>
          </cell>
          <cell r="AX57">
            <v>60598.960000000006</v>
          </cell>
          <cell r="AY57">
            <v>-870.07999999999993</v>
          </cell>
          <cell r="AZ57">
            <v>-1637.8300000000002</v>
          </cell>
          <cell r="BE57">
            <v>-4937.54</v>
          </cell>
          <cell r="BK57">
            <v>521756.59</v>
          </cell>
        </row>
        <row r="58">
          <cell r="T58">
            <v>32.03</v>
          </cell>
          <cell r="U58">
            <v>0.09</v>
          </cell>
          <cell r="V58">
            <v>0.08</v>
          </cell>
          <cell r="W58">
            <v>17834.150000000001</v>
          </cell>
          <cell r="AA58">
            <v>1176.55</v>
          </cell>
          <cell r="AO58">
            <v>55545.490000000005</v>
          </cell>
          <cell r="AP58">
            <v>27292.58</v>
          </cell>
          <cell r="AQ58">
            <v>529.11</v>
          </cell>
          <cell r="AR58">
            <v>86536.45</v>
          </cell>
          <cell r="AS58">
            <v>59243.470000000008</v>
          </cell>
          <cell r="AT58">
            <v>117103.92</v>
          </cell>
          <cell r="AU58">
            <v>97202.489999999991</v>
          </cell>
          <cell r="AV58">
            <v>50831.099999999984</v>
          </cell>
          <cell r="AW58">
            <v>148869.97999999998</v>
          </cell>
          <cell r="AX58">
            <v>108029.43000000001</v>
          </cell>
          <cell r="AY58">
            <v>-12054.75</v>
          </cell>
          <cell r="AZ58">
            <v>-7848.1799999999994</v>
          </cell>
          <cell r="BE58">
            <v>4937.54</v>
          </cell>
          <cell r="BK58">
            <v>755261.53</v>
          </cell>
        </row>
        <row r="59">
          <cell r="T59">
            <v>9963.59</v>
          </cell>
          <cell r="U59">
            <v>28.900000000000002</v>
          </cell>
          <cell r="W59">
            <v>1265.3999999999999</v>
          </cell>
          <cell r="Y59">
            <v>343.47</v>
          </cell>
          <cell r="AA59">
            <v>3758.4500000000003</v>
          </cell>
          <cell r="AR59">
            <v>2227.8000000000002</v>
          </cell>
          <cell r="AS59">
            <v>24644.53</v>
          </cell>
          <cell r="AT59">
            <v>89642.810000000012</v>
          </cell>
          <cell r="AU59">
            <v>70605.959999999992</v>
          </cell>
          <cell r="AV59">
            <v>303.72000000000003</v>
          </cell>
          <cell r="AW59">
            <v>37020.450000000004</v>
          </cell>
          <cell r="AX59">
            <v>41112.320000000007</v>
          </cell>
          <cell r="AY59">
            <v>-4028.8900000000003</v>
          </cell>
          <cell r="BE59">
            <v>-6087.1100000000006</v>
          </cell>
          <cell r="BK59">
            <v>270801.40000000002</v>
          </cell>
        </row>
        <row r="60">
          <cell r="R60">
            <v>243.87</v>
          </cell>
          <cell r="S60">
            <v>66595.76999999999</v>
          </cell>
          <cell r="T60">
            <v>78689.590000000011</v>
          </cell>
          <cell r="U60">
            <v>67210.37999999999</v>
          </cell>
          <cell r="V60">
            <v>53214.2</v>
          </cell>
          <cell r="W60">
            <v>53734.150000000009</v>
          </cell>
          <cell r="X60">
            <v>44241.62</v>
          </cell>
          <cell r="Y60">
            <v>32712.550000000007</v>
          </cell>
          <cell r="Z60">
            <v>27368.170000000002</v>
          </cell>
          <cell r="AA60">
            <v>-811.3</v>
          </cell>
          <cell r="BK60">
            <v>423199</v>
          </cell>
        </row>
        <row r="61">
          <cell r="R61">
            <v>40939.579999999994</v>
          </cell>
          <cell r="S61">
            <v>43945.490000000005</v>
          </cell>
          <cell r="T61">
            <v>42017.530000000013</v>
          </cell>
          <cell r="U61">
            <v>34839.61</v>
          </cell>
          <cell r="V61">
            <v>30878.759999999991</v>
          </cell>
          <cell r="W61">
            <v>60977.87</v>
          </cell>
          <cell r="X61">
            <v>23205.949999999997</v>
          </cell>
          <cell r="Y61">
            <v>4236.6400000000003</v>
          </cell>
          <cell r="Z61">
            <v>290.06000000000051</v>
          </cell>
          <cell r="AB61">
            <v>1302.7</v>
          </cell>
          <cell r="BK61">
            <v>282634.19</v>
          </cell>
        </row>
        <row r="62">
          <cell r="AA62">
            <v>8041.9600000000009</v>
          </cell>
          <cell r="AB62">
            <v>56.29</v>
          </cell>
          <cell r="AC62">
            <v>28.34</v>
          </cell>
          <cell r="AD62">
            <v>56.89</v>
          </cell>
          <cell r="AE62">
            <v>2.0499999999999998</v>
          </cell>
          <cell r="AN62">
            <v>4.09</v>
          </cell>
          <cell r="AO62">
            <v>4.09</v>
          </cell>
          <cell r="AP62">
            <v>4.0999999999999996</v>
          </cell>
          <cell r="AQ62">
            <v>7.38</v>
          </cell>
          <cell r="AR62">
            <v>32625.05</v>
          </cell>
          <cell r="AS62">
            <v>21695.199999999993</v>
          </cell>
          <cell r="AT62">
            <v>39134.870000000003</v>
          </cell>
          <cell r="AU62">
            <v>20324.659999999996</v>
          </cell>
          <cell r="AV62">
            <v>6159.7100000000009</v>
          </cell>
          <cell r="AW62">
            <v>2119.23</v>
          </cell>
          <cell r="AX62">
            <v>14664.349999999999</v>
          </cell>
          <cell r="AY62">
            <v>1252.8900000000001</v>
          </cell>
          <cell r="AZ62">
            <v>1024.94</v>
          </cell>
          <cell r="BB62">
            <v>2119.7200000000003</v>
          </cell>
          <cell r="BF62">
            <v>969.47</v>
          </cell>
          <cell r="BJ62">
            <v>0</v>
          </cell>
          <cell r="BK62">
            <v>150295.28000000003</v>
          </cell>
        </row>
        <row r="63">
          <cell r="T63">
            <v>2020.1200000000001</v>
          </cell>
          <cell r="U63">
            <v>3955.6100000000006</v>
          </cell>
          <cell r="W63">
            <v>1290.72</v>
          </cell>
          <cell r="AA63">
            <v>4392.78</v>
          </cell>
          <cell r="AB63">
            <v>24312.260000000002</v>
          </cell>
          <cell r="AC63">
            <v>49046.35</v>
          </cell>
          <cell r="AD63">
            <v>62293.090000000004</v>
          </cell>
          <cell r="AE63">
            <v>30403.809999999998</v>
          </cell>
          <cell r="AF63">
            <v>31444.93</v>
          </cell>
          <cell r="AG63">
            <v>38113.51999999999</v>
          </cell>
          <cell r="AH63">
            <v>0</v>
          </cell>
          <cell r="AI63">
            <v>32021.65</v>
          </cell>
          <cell r="AJ63">
            <v>18.14</v>
          </cell>
          <cell r="AL63">
            <v>1358.18</v>
          </cell>
          <cell r="BK63">
            <v>280671.15999999997</v>
          </cell>
        </row>
        <row r="64">
          <cell r="AA64">
            <v>21521.550000000003</v>
          </cell>
          <cell r="AB64">
            <v>150.65</v>
          </cell>
          <cell r="AC64">
            <v>75.849999999999994</v>
          </cell>
          <cell r="AD64">
            <v>152.24</v>
          </cell>
          <cell r="AE64">
            <v>5.48</v>
          </cell>
          <cell r="AF64">
            <v>4.38</v>
          </cell>
          <cell r="BK64">
            <v>21910.150000000005</v>
          </cell>
        </row>
        <row r="65">
          <cell r="AA65">
            <v>20161.02</v>
          </cell>
          <cell r="AB65">
            <v>141.12</v>
          </cell>
          <cell r="AC65">
            <v>71.06</v>
          </cell>
          <cell r="AD65">
            <v>142.61000000000001</v>
          </cell>
          <cell r="AE65">
            <v>5.13</v>
          </cell>
          <cell r="AF65">
            <v>8.2100000000000009</v>
          </cell>
          <cell r="BK65">
            <v>20529.150000000001</v>
          </cell>
        </row>
        <row r="66">
          <cell r="S66">
            <v>6718.49</v>
          </cell>
          <cell r="T66">
            <v>77117.64999999998</v>
          </cell>
          <cell r="U66">
            <v>111822.41</v>
          </cell>
          <cell r="V66">
            <v>111499.53000000003</v>
          </cell>
          <cell r="W66">
            <v>148804.91000000003</v>
          </cell>
          <cell r="X66">
            <v>147509.96000000002</v>
          </cell>
          <cell r="Y66">
            <v>142710.97999999998</v>
          </cell>
          <cell r="Z66">
            <v>-610.60000000000014</v>
          </cell>
          <cell r="AA66">
            <v>4010.2000000000003</v>
          </cell>
          <cell r="AB66">
            <v>-13194.710000000001</v>
          </cell>
          <cell r="AC66">
            <v>-100.18</v>
          </cell>
          <cell r="BK66">
            <v>736288.64</v>
          </cell>
        </row>
        <row r="67">
          <cell r="X67">
            <v>164.71</v>
          </cell>
          <cell r="Y67">
            <v>0.55000000000000004</v>
          </cell>
          <cell r="Z67">
            <v>1.52</v>
          </cell>
          <cell r="AA67">
            <v>31813.77</v>
          </cell>
          <cell r="AB67">
            <v>223.86</v>
          </cell>
          <cell r="AC67">
            <v>112.72</v>
          </cell>
          <cell r="AD67">
            <v>226.22000000000003</v>
          </cell>
          <cell r="AE67">
            <v>8.14</v>
          </cell>
          <cell r="AF67">
            <v>13.02</v>
          </cell>
          <cell r="BK67">
            <v>32564.510000000002</v>
          </cell>
        </row>
        <row r="68">
          <cell r="T68">
            <v>12430.26</v>
          </cell>
          <cell r="U68">
            <v>683.27</v>
          </cell>
          <cell r="V68">
            <v>16.170000000000002</v>
          </cell>
          <cell r="W68">
            <v>3089.3599999999997</v>
          </cell>
          <cell r="AA68">
            <v>728.94</v>
          </cell>
          <cell r="AC68">
            <v>600.4</v>
          </cell>
          <cell r="AO68">
            <v>13366.850000000002</v>
          </cell>
          <cell r="AP68">
            <v>15160.83</v>
          </cell>
          <cell r="AQ68">
            <v>16557.11</v>
          </cell>
          <cell r="AR68">
            <v>17101.320000000003</v>
          </cell>
          <cell r="AS68">
            <v>51169.409999999996</v>
          </cell>
          <cell r="AT68">
            <v>35183.450000000004</v>
          </cell>
          <cell r="AU68">
            <v>81171.300000000017</v>
          </cell>
          <cell r="AV68">
            <v>51377.83</v>
          </cell>
          <cell r="AW68">
            <v>27792.190000000002</v>
          </cell>
          <cell r="AX68">
            <v>15017.859999999999</v>
          </cell>
          <cell r="AY68">
            <v>5840.3600000000006</v>
          </cell>
          <cell r="AZ68">
            <v>4326.51</v>
          </cell>
          <cell r="BA68">
            <v>3231.78</v>
          </cell>
          <cell r="BB68">
            <v>7168.05</v>
          </cell>
          <cell r="BC68">
            <v>3340.55</v>
          </cell>
          <cell r="BD68">
            <v>14141.9</v>
          </cell>
          <cell r="BK68">
            <v>379495.70000000007</v>
          </cell>
        </row>
        <row r="69">
          <cell r="Q69">
            <v>39462.550000000003</v>
          </cell>
          <cell r="R69">
            <v>67019.180000000022</v>
          </cell>
          <cell r="S69">
            <v>214713.46999999997</v>
          </cell>
          <cell r="T69">
            <v>125529.95999999998</v>
          </cell>
          <cell r="U69">
            <v>20632.750000000004</v>
          </cell>
          <cell r="V69">
            <v>27283.05</v>
          </cell>
          <cell r="W69">
            <v>6234.23</v>
          </cell>
          <cell r="X69">
            <v>1771.68</v>
          </cell>
          <cell r="Y69">
            <v>-6110.49</v>
          </cell>
          <cell r="BK69">
            <v>496536.37999999995</v>
          </cell>
        </row>
        <row r="70">
          <cell r="S70">
            <v>1560.19</v>
          </cell>
          <cell r="T70">
            <v>13466.210000000001</v>
          </cell>
          <cell r="U70">
            <v>2297.33</v>
          </cell>
          <cell r="V70">
            <v>41.58</v>
          </cell>
          <cell r="W70">
            <v>2500.44</v>
          </cell>
          <cell r="X70">
            <v>429</v>
          </cell>
          <cell r="Y70">
            <v>328.5</v>
          </cell>
          <cell r="AA70">
            <v>680.24</v>
          </cell>
          <cell r="AC70">
            <v>52220.170000000006</v>
          </cell>
          <cell r="AD70">
            <v>123597.65000000002</v>
          </cell>
          <cell r="AE70">
            <v>78001.63</v>
          </cell>
          <cell r="AF70">
            <v>30998.75</v>
          </cell>
          <cell r="AG70">
            <v>109706.82</v>
          </cell>
          <cell r="AH70">
            <v>50783.580000000009</v>
          </cell>
          <cell r="AI70">
            <v>33592.149999999994</v>
          </cell>
          <cell r="AJ70">
            <v>4813.22</v>
          </cell>
          <cell r="AO70">
            <v>-7657.2100000000009</v>
          </cell>
          <cell r="AQ70">
            <v>-441.37</v>
          </cell>
          <cell r="BK70">
            <v>496918.88000000006</v>
          </cell>
        </row>
        <row r="71">
          <cell r="S71">
            <v>3331.17</v>
          </cell>
          <cell r="T71">
            <v>141670.65000000002</v>
          </cell>
          <cell r="U71">
            <v>63765.770000000011</v>
          </cell>
          <cell r="V71">
            <v>64022.37</v>
          </cell>
          <cell r="W71">
            <v>48082.079999999994</v>
          </cell>
          <cell r="X71">
            <v>91516.34</v>
          </cell>
          <cell r="Y71">
            <v>100455.75000000001</v>
          </cell>
          <cell r="Z71">
            <v>280957.73000000004</v>
          </cell>
          <cell r="AA71">
            <v>-7437.97</v>
          </cell>
          <cell r="BK71">
            <v>786363.89000000013</v>
          </cell>
        </row>
        <row r="72">
          <cell r="AA72">
            <v>40872.47</v>
          </cell>
          <cell r="AB72">
            <v>286.11</v>
          </cell>
          <cell r="AC72">
            <v>-560.44000000000005</v>
          </cell>
          <cell r="AD72">
            <v>284.19</v>
          </cell>
          <cell r="AE72">
            <v>10.220000000000001</v>
          </cell>
          <cell r="AF72">
            <v>16.36</v>
          </cell>
          <cell r="BK72">
            <v>40908.910000000003</v>
          </cell>
        </row>
        <row r="73">
          <cell r="AA73">
            <v>10414.65</v>
          </cell>
          <cell r="AB73">
            <v>72.91</v>
          </cell>
          <cell r="AC73">
            <v>36.71</v>
          </cell>
          <cell r="AD73">
            <v>73.67</v>
          </cell>
          <cell r="AE73">
            <v>2.65</v>
          </cell>
          <cell r="AF73">
            <v>2.12</v>
          </cell>
          <cell r="AN73">
            <v>5.3</v>
          </cell>
          <cell r="AO73">
            <v>24049.56</v>
          </cell>
          <cell r="AP73">
            <v>12983.890000000001</v>
          </cell>
          <cell r="AQ73">
            <v>103343.97</v>
          </cell>
          <cell r="AR73">
            <v>83334.06</v>
          </cell>
          <cell r="AS73">
            <v>43694.469999999994</v>
          </cell>
          <cell r="AT73">
            <v>2212.33</v>
          </cell>
          <cell r="AU73">
            <v>3350.51</v>
          </cell>
          <cell r="AV73">
            <v>260</v>
          </cell>
          <cell r="AW73">
            <v>50639.210000000006</v>
          </cell>
          <cell r="AX73">
            <v>36235.08</v>
          </cell>
          <cell r="BK73">
            <v>370711.09</v>
          </cell>
        </row>
        <row r="74">
          <cell r="T74">
            <v>24272.579999999998</v>
          </cell>
          <cell r="U74">
            <v>2444.54</v>
          </cell>
          <cell r="X74">
            <v>-340.06</v>
          </cell>
          <cell r="AB74">
            <v>503.58</v>
          </cell>
          <cell r="AD74">
            <v>5252.94</v>
          </cell>
          <cell r="AE74">
            <v>39979.469999999994</v>
          </cell>
          <cell r="AF74">
            <v>27195.8</v>
          </cell>
          <cell r="AG74">
            <v>15808.47</v>
          </cell>
          <cell r="AH74">
            <v>31292.73</v>
          </cell>
          <cell r="AI74">
            <v>43395.6</v>
          </cell>
          <cell r="AJ74">
            <v>25293.219999999998</v>
          </cell>
          <cell r="AK74">
            <v>11339.960000000001</v>
          </cell>
          <cell r="AL74">
            <v>7906.42</v>
          </cell>
          <cell r="AO74">
            <v>-6066.96</v>
          </cell>
          <cell r="BK74">
            <v>228278.29</v>
          </cell>
        </row>
        <row r="75">
          <cell r="W75">
            <v>2525.1200000000003</v>
          </cell>
          <cell r="AA75">
            <v>5208.3900000000003</v>
          </cell>
          <cell r="AB75">
            <v>187.56</v>
          </cell>
          <cell r="BK75">
            <v>7921.0700000000006</v>
          </cell>
        </row>
        <row r="76">
          <cell r="AB76">
            <v>85.05</v>
          </cell>
          <cell r="AC76">
            <v>2505.08</v>
          </cell>
          <cell r="AD76">
            <v>18.14</v>
          </cell>
          <cell r="AE76">
            <v>512.92000000000007</v>
          </cell>
          <cell r="AF76">
            <v>1.25</v>
          </cell>
          <cell r="AG76">
            <v>1.25</v>
          </cell>
          <cell r="AH76">
            <v>1.25</v>
          </cell>
          <cell r="AI76">
            <v>0.94000000000000006</v>
          </cell>
          <cell r="AJ76">
            <v>27706.739999999998</v>
          </cell>
          <cell r="AK76">
            <v>60469.270000000004</v>
          </cell>
          <cell r="AL76">
            <v>121562.95999999999</v>
          </cell>
          <cell r="AM76">
            <v>3067.38</v>
          </cell>
          <cell r="BF76">
            <v>863.96</v>
          </cell>
          <cell r="BK76">
            <v>216796.18999999997</v>
          </cell>
        </row>
        <row r="77">
          <cell r="P77">
            <v>31660.15</v>
          </cell>
          <cell r="Q77">
            <v>128809.59000000003</v>
          </cell>
          <cell r="R77">
            <v>176390.80000000002</v>
          </cell>
          <cell r="S77">
            <v>23643.149999999998</v>
          </cell>
          <cell r="T77">
            <v>4967.95</v>
          </cell>
          <cell r="U77">
            <v>698.13</v>
          </cell>
          <cell r="W77">
            <v>115.46000000000001</v>
          </cell>
          <cell r="X77">
            <v>-5387.33</v>
          </cell>
          <cell r="AG77">
            <v>-23.73</v>
          </cell>
          <cell r="BK77">
            <v>360874.1700000001</v>
          </cell>
        </row>
        <row r="78">
          <cell r="R78">
            <v>70545.460000000006</v>
          </cell>
          <cell r="S78">
            <v>76378.98000000001</v>
          </cell>
          <cell r="T78">
            <v>136061.56</v>
          </cell>
          <cell r="U78">
            <v>77720.61</v>
          </cell>
          <cell r="V78">
            <v>35807.450000000004</v>
          </cell>
          <cell r="W78">
            <v>34520.489999999991</v>
          </cell>
          <cell r="X78">
            <v>101600.89999999998</v>
          </cell>
          <cell r="Y78">
            <v>51705.439999999995</v>
          </cell>
          <cell r="Z78">
            <v>116697.65000000001</v>
          </cell>
          <cell r="AI78">
            <v>5259.0300000000007</v>
          </cell>
          <cell r="BK78">
            <v>706297.57</v>
          </cell>
        </row>
        <row r="79">
          <cell r="P79">
            <v>30433.030000000002</v>
          </cell>
          <cell r="Q79">
            <v>98722.99</v>
          </cell>
          <cell r="R79">
            <v>191915.05</v>
          </cell>
          <cell r="S79">
            <v>137169.76</v>
          </cell>
          <cell r="T79">
            <v>136004.72</v>
          </cell>
          <cell r="U79">
            <v>35216.86</v>
          </cell>
          <cell r="V79">
            <v>2471.6</v>
          </cell>
          <cell r="W79">
            <v>19521.68</v>
          </cell>
          <cell r="X79">
            <v>1250.92</v>
          </cell>
          <cell r="Y79">
            <v>2143.2400000000002</v>
          </cell>
          <cell r="Z79">
            <v>3225.2900000000004</v>
          </cell>
          <cell r="AA79">
            <v>-29.46</v>
          </cell>
          <cell r="AG79">
            <v>-16578.989999999998</v>
          </cell>
          <cell r="BK79">
            <v>641466.69000000018</v>
          </cell>
        </row>
        <row r="80">
          <cell r="S80">
            <v>40311.62000000001</v>
          </cell>
          <cell r="T80">
            <v>58557.32</v>
          </cell>
          <cell r="U80">
            <v>97083.520000000004</v>
          </cell>
          <cell r="V80">
            <v>67898.490000000005</v>
          </cell>
          <cell r="W80">
            <v>75149.37000000001</v>
          </cell>
          <cell r="X80">
            <v>142725.5</v>
          </cell>
          <cell r="Y80">
            <v>86581.35</v>
          </cell>
          <cell r="Z80">
            <v>320239.71000000002</v>
          </cell>
          <cell r="AA80">
            <v>-21405.82</v>
          </cell>
          <cell r="BK80">
            <v>867141.06000000017</v>
          </cell>
        </row>
        <row r="81">
          <cell r="P81">
            <v>26772.400000000001</v>
          </cell>
          <cell r="Q81">
            <v>8188.3900000000012</v>
          </cell>
          <cell r="R81">
            <v>66617.62000000001</v>
          </cell>
          <cell r="S81">
            <v>135653.01</v>
          </cell>
          <cell r="T81">
            <v>110287.99000000002</v>
          </cell>
          <cell r="U81">
            <v>85016.8</v>
          </cell>
          <cell r="V81">
            <v>41683.199999999997</v>
          </cell>
          <cell r="W81">
            <v>41043.31</v>
          </cell>
          <cell r="X81">
            <v>25748.9</v>
          </cell>
          <cell r="Y81">
            <v>34279</v>
          </cell>
          <cell r="Z81">
            <v>228.26</v>
          </cell>
          <cell r="AG81">
            <v>-2218.5100000000002</v>
          </cell>
          <cell r="BK81">
            <v>573300.37</v>
          </cell>
        </row>
        <row r="82">
          <cell r="W82">
            <v>13933.490000000002</v>
          </cell>
          <cell r="X82">
            <v>25.08</v>
          </cell>
          <cell r="Y82">
            <v>46.07</v>
          </cell>
          <cell r="Z82">
            <v>128.80000000000001</v>
          </cell>
          <cell r="AA82">
            <v>21293.050000000003</v>
          </cell>
          <cell r="AB82">
            <v>247.99</v>
          </cell>
          <cell r="AC82">
            <v>124.86</v>
          </cell>
          <cell r="AD82">
            <v>250.6</v>
          </cell>
          <cell r="AE82">
            <v>18.02</v>
          </cell>
          <cell r="AN82">
            <v>18.03</v>
          </cell>
          <cell r="AO82">
            <v>923.31999999999994</v>
          </cell>
          <cell r="AP82">
            <v>18.5</v>
          </cell>
          <cell r="AQ82">
            <v>33.33</v>
          </cell>
          <cell r="AR82">
            <v>48.180000000000007</v>
          </cell>
          <cell r="AS82">
            <v>70.509999999999991</v>
          </cell>
          <cell r="AT82">
            <v>71937.14</v>
          </cell>
          <cell r="AU82">
            <v>101428.98999999999</v>
          </cell>
          <cell r="AV82">
            <v>116327.03000000001</v>
          </cell>
          <cell r="AW82">
            <v>127439.64</v>
          </cell>
          <cell r="AX82">
            <v>477667.53</v>
          </cell>
          <cell r="AY82">
            <v>2810.3</v>
          </cell>
          <cell r="AZ82">
            <v>61663.02</v>
          </cell>
          <cell r="BA82">
            <v>65515.759999999995</v>
          </cell>
          <cell r="BB82">
            <v>-3077.1299999999997</v>
          </cell>
          <cell r="BC82">
            <v>5352.8</v>
          </cell>
          <cell r="BD82">
            <v>9052.89</v>
          </cell>
          <cell r="BE82">
            <v>30281.87</v>
          </cell>
          <cell r="BF82">
            <v>41020.6</v>
          </cell>
          <cell r="BG82">
            <v>2703.58</v>
          </cell>
          <cell r="BK82">
            <v>1147303.8500000003</v>
          </cell>
        </row>
        <row r="83">
          <cell r="W83">
            <v>42.39</v>
          </cell>
          <cell r="AA83">
            <v>4251.7</v>
          </cell>
          <cell r="AB83">
            <v>213.4</v>
          </cell>
          <cell r="AC83">
            <v>3948.33</v>
          </cell>
          <cell r="AE83">
            <v>10534.809999999998</v>
          </cell>
          <cell r="AF83">
            <v>78694.09</v>
          </cell>
          <cell r="AG83">
            <v>52329.380000000005</v>
          </cell>
          <cell r="AH83">
            <v>67840.83</v>
          </cell>
          <cell r="AI83">
            <v>28032.75</v>
          </cell>
          <cell r="AJ83">
            <v>7233.34</v>
          </cell>
          <cell r="AK83">
            <v>1133.3399999999999</v>
          </cell>
          <cell r="AL83">
            <v>6223.33</v>
          </cell>
          <cell r="AM83">
            <v>360</v>
          </cell>
          <cell r="AN83">
            <v>10782.380000000001</v>
          </cell>
          <cell r="BK83">
            <v>271620.06999999995</v>
          </cell>
        </row>
        <row r="84">
          <cell r="W84">
            <v>56.56</v>
          </cell>
          <cell r="AA84">
            <v>2916.7000000000003</v>
          </cell>
          <cell r="AR84">
            <v>3.8600000000000003</v>
          </cell>
          <cell r="AS84">
            <v>5.66</v>
          </cell>
          <cell r="AT84">
            <v>5.37</v>
          </cell>
          <cell r="AU84">
            <v>5.3800000000000008</v>
          </cell>
          <cell r="AV84">
            <v>4.49</v>
          </cell>
          <cell r="AW84">
            <v>3.3</v>
          </cell>
          <cell r="AX84">
            <v>6555.14</v>
          </cell>
          <cell r="AY84">
            <v>19387.52</v>
          </cell>
          <cell r="AZ84">
            <v>11430.71</v>
          </cell>
          <cell r="BA84">
            <v>137426.97</v>
          </cell>
          <cell r="BB84">
            <v>3168.53</v>
          </cell>
          <cell r="BC84">
            <v>280</v>
          </cell>
          <cell r="BF84">
            <v>420</v>
          </cell>
          <cell r="BH84">
            <v>20</v>
          </cell>
          <cell r="BK84">
            <v>181690.19</v>
          </cell>
        </row>
        <row r="85">
          <cell r="AB85">
            <v>1120.1000000000001</v>
          </cell>
          <cell r="AC85">
            <v>40927.01</v>
          </cell>
          <cell r="AD85">
            <v>66103.37999999999</v>
          </cell>
          <cell r="AE85">
            <v>35263.629999999997</v>
          </cell>
          <cell r="AF85">
            <v>230.22000000000003</v>
          </cell>
          <cell r="AG85">
            <v>13934.07</v>
          </cell>
          <cell r="AH85">
            <v>1440.19</v>
          </cell>
          <cell r="BK85">
            <v>159018.6</v>
          </cell>
        </row>
        <row r="86">
          <cell r="W86">
            <v>223.81</v>
          </cell>
          <cell r="AA86">
            <v>9955.1799999999985</v>
          </cell>
          <cell r="AO86">
            <v>246.97</v>
          </cell>
          <cell r="AP86">
            <v>16417.55</v>
          </cell>
          <cell r="AQ86">
            <v>59088.07</v>
          </cell>
          <cell r="AR86">
            <v>93122.06</v>
          </cell>
          <cell r="AS86">
            <v>54992.21</v>
          </cell>
          <cell r="AT86">
            <v>28450.6</v>
          </cell>
          <cell r="AU86">
            <v>79386.23</v>
          </cell>
          <cell r="AV86">
            <v>10.209999999999837</v>
          </cell>
          <cell r="AW86">
            <v>40039.269999999997</v>
          </cell>
          <cell r="AX86">
            <v>42382.71</v>
          </cell>
          <cell r="AY86">
            <v>0</v>
          </cell>
          <cell r="BK86">
            <v>424314.87</v>
          </cell>
        </row>
        <row r="87">
          <cell r="W87">
            <v>224.03</v>
          </cell>
          <cell r="AA87">
            <v>6905.6100000000006</v>
          </cell>
          <cell r="AO87">
            <v>105.39000000000001</v>
          </cell>
          <cell r="AP87">
            <v>1580.2</v>
          </cell>
          <cell r="AQ87">
            <v>24372.950000000004</v>
          </cell>
          <cell r="AR87">
            <v>41582.160000000003</v>
          </cell>
          <cell r="AS87">
            <v>10015.65</v>
          </cell>
          <cell r="AT87">
            <v>10877.4</v>
          </cell>
          <cell r="AU87">
            <v>47954.700000000004</v>
          </cell>
          <cell r="AV87">
            <v>3465.35</v>
          </cell>
          <cell r="AW87">
            <v>14433.570000000002</v>
          </cell>
          <cell r="AX87">
            <v>13036.36</v>
          </cell>
          <cell r="BK87">
            <v>174553.37</v>
          </cell>
        </row>
        <row r="88">
          <cell r="W88">
            <v>2355.21</v>
          </cell>
          <cell r="AA88">
            <v>4042.09</v>
          </cell>
          <cell r="AB88">
            <v>250.92000000000002</v>
          </cell>
          <cell r="AC88">
            <v>3155.14</v>
          </cell>
          <cell r="AI88">
            <v>2728.32</v>
          </cell>
          <cell r="AJ88">
            <v>48196.680000000008</v>
          </cell>
          <cell r="AK88">
            <v>42154.540000000008</v>
          </cell>
          <cell r="AL88">
            <v>18063.920000000002</v>
          </cell>
          <cell r="AM88">
            <v>11369.48</v>
          </cell>
          <cell r="AN88">
            <v>7875.3399999999992</v>
          </cell>
          <cell r="AO88">
            <v>5646.3600000000006</v>
          </cell>
          <cell r="AP88">
            <v>11267.75</v>
          </cell>
          <cell r="AW88">
            <v>33242.399999999994</v>
          </cell>
          <cell r="AX88">
            <v>21339.09</v>
          </cell>
          <cell r="BK88">
            <v>211687.24</v>
          </cell>
        </row>
        <row r="89">
          <cell r="AA89">
            <v>18811.919999999998</v>
          </cell>
          <cell r="AB89">
            <v>879.65</v>
          </cell>
          <cell r="AC89">
            <v>12713.61</v>
          </cell>
          <cell r="AD89">
            <v>17483.309999999998</v>
          </cell>
          <cell r="AE89">
            <v>71144.66</v>
          </cell>
          <cell r="AF89">
            <v>70659.420000000013</v>
          </cell>
          <cell r="AG89">
            <v>67915.650000000009</v>
          </cell>
          <cell r="AH89">
            <v>51173.96</v>
          </cell>
          <cell r="AI89">
            <v>45152.18</v>
          </cell>
          <cell r="AJ89">
            <v>9186.0600000000013</v>
          </cell>
          <cell r="AK89">
            <v>6976.9599999999991</v>
          </cell>
          <cell r="BK89">
            <v>372097.38000000006</v>
          </cell>
        </row>
        <row r="90">
          <cell r="T90">
            <v>1488.2</v>
          </cell>
          <cell r="U90">
            <v>4.3100000000000005</v>
          </cell>
          <cell r="V90">
            <v>3.58</v>
          </cell>
          <cell r="W90">
            <v>515.77</v>
          </cell>
          <cell r="X90">
            <v>3.62</v>
          </cell>
          <cell r="Y90">
            <v>6.65</v>
          </cell>
          <cell r="Z90">
            <v>-2012.72</v>
          </cell>
          <cell r="AA90">
            <v>3885.2400000000007</v>
          </cell>
          <cell r="AB90">
            <v>-3886.4500000000003</v>
          </cell>
          <cell r="AC90">
            <v>-8.17</v>
          </cell>
          <cell r="AD90">
            <v>-0.03</v>
          </cell>
          <cell r="BK90">
            <v>2.7292057502847911E-13</v>
          </cell>
        </row>
        <row r="91">
          <cell r="S91">
            <v>5027.25</v>
          </cell>
          <cell r="T91">
            <v>16.080000000000002</v>
          </cell>
          <cell r="U91">
            <v>14.620000000000001</v>
          </cell>
          <cell r="V91">
            <v>745.77</v>
          </cell>
          <cell r="W91">
            <v>25685.5</v>
          </cell>
          <cell r="X91">
            <v>12338.94</v>
          </cell>
          <cell r="Y91">
            <v>169.92999999999998</v>
          </cell>
          <cell r="Z91">
            <v>1750.77</v>
          </cell>
          <cell r="AB91">
            <v>5047.71</v>
          </cell>
          <cell r="BK91">
            <v>50796.57</v>
          </cell>
        </row>
        <row r="92">
          <cell r="T92">
            <v>5365.53</v>
          </cell>
          <cell r="U92">
            <v>1253.2900000000002</v>
          </cell>
          <cell r="V92">
            <v>31293.24</v>
          </cell>
          <cell r="W92">
            <v>54618.62</v>
          </cell>
          <cell r="X92">
            <v>4896.3599999999997</v>
          </cell>
          <cell r="Y92">
            <v>-411.83000000000004</v>
          </cell>
          <cell r="Z92">
            <v>-488.26000000000005</v>
          </cell>
          <cell r="AA92">
            <v>-674.36</v>
          </cell>
          <cell r="AB92">
            <v>-2446.96</v>
          </cell>
          <cell r="AI92">
            <v>3116.1900000000005</v>
          </cell>
          <cell r="BK92">
            <v>96521.819999999992</v>
          </cell>
        </row>
        <row r="93">
          <cell r="S93">
            <v>12312.68</v>
          </cell>
          <cell r="T93">
            <v>109592.68999999999</v>
          </cell>
          <cell r="U93">
            <v>67949.209999999992</v>
          </cell>
          <cell r="V93">
            <v>16414.330000000005</v>
          </cell>
          <cell r="W93">
            <v>8546.2199999999993</v>
          </cell>
          <cell r="X93">
            <v>123.03</v>
          </cell>
          <cell r="Y93">
            <v>709.3</v>
          </cell>
          <cell r="Z93">
            <v>-2783.01</v>
          </cell>
          <cell r="AC93">
            <v>-21.36</v>
          </cell>
          <cell r="BK93">
            <v>212843.09</v>
          </cell>
        </row>
        <row r="94">
          <cell r="T94">
            <v>20843.160000000007</v>
          </cell>
          <cell r="U94">
            <v>85973.440000000002</v>
          </cell>
          <cell r="V94">
            <v>87570.469999999972</v>
          </cell>
          <cell r="W94">
            <v>87314.190000000017</v>
          </cell>
          <cell r="X94">
            <v>4329.4400000000005</v>
          </cell>
          <cell r="Y94">
            <v>2756.28</v>
          </cell>
          <cell r="Z94">
            <v>5447.35</v>
          </cell>
          <cell r="AA94">
            <v>6227.1500000000005</v>
          </cell>
          <cell r="AB94">
            <v>2103.23</v>
          </cell>
          <cell r="AC94">
            <v>-3023.5000000000005</v>
          </cell>
          <cell r="AJ94">
            <v>-4126.13</v>
          </cell>
          <cell r="BK94">
            <v>295415.08</v>
          </cell>
        </row>
        <row r="95">
          <cell r="S95">
            <v>14171.480000000001</v>
          </cell>
          <cell r="T95">
            <v>41204.429999999993</v>
          </cell>
          <cell r="U95">
            <v>43862.009999999995</v>
          </cell>
          <cell r="V95">
            <v>-3481.5900000000006</v>
          </cell>
          <cell r="W95">
            <v>2828.0700000000011</v>
          </cell>
          <cell r="X95">
            <v>1041.0800000000002</v>
          </cell>
          <cell r="Z95">
            <v>6462.72</v>
          </cell>
          <cell r="AA95">
            <v>6863.74</v>
          </cell>
          <cell r="AB95">
            <v>9312.7099999999991</v>
          </cell>
          <cell r="AC95">
            <v>-9204.17</v>
          </cell>
          <cell r="BK95">
            <v>113060.48</v>
          </cell>
        </row>
        <row r="96">
          <cell r="T96">
            <v>4814.53</v>
          </cell>
          <cell r="U96">
            <v>2076.15</v>
          </cell>
          <cell r="V96">
            <v>10352.1</v>
          </cell>
          <cell r="W96">
            <v>778.91</v>
          </cell>
          <cell r="AY96">
            <v>120.75</v>
          </cell>
          <cell r="AZ96">
            <v>100950.89000000001</v>
          </cell>
          <cell r="BA96">
            <v>349077.28999999992</v>
          </cell>
          <cell r="BB96">
            <v>-162693.63</v>
          </cell>
          <cell r="BC96">
            <v>1960.6800000000003</v>
          </cell>
          <cell r="BD96">
            <v>71596.09</v>
          </cell>
          <cell r="BE96">
            <v>1060.4099999999999</v>
          </cell>
          <cell r="BF96">
            <v>7116.14</v>
          </cell>
          <cell r="BG96">
            <v>12121.230000000001</v>
          </cell>
          <cell r="BK96">
            <v>399331.53999999986</v>
          </cell>
        </row>
        <row r="97">
          <cell r="T97">
            <v>34370.870000000003</v>
          </cell>
          <cell r="U97">
            <v>171.84</v>
          </cell>
          <cell r="V97">
            <v>-17445.919999999998</v>
          </cell>
          <cell r="AB97">
            <v>3139.56</v>
          </cell>
          <cell r="AC97">
            <v>204207.37000000002</v>
          </cell>
          <cell r="AD97">
            <v>131392.12000000002</v>
          </cell>
          <cell r="AE97">
            <v>24624.329999999998</v>
          </cell>
          <cell r="AF97">
            <v>12856.5</v>
          </cell>
          <cell r="AG97">
            <v>159.94000000000003</v>
          </cell>
          <cell r="AH97">
            <v>2214.13</v>
          </cell>
          <cell r="AI97">
            <v>8516.2899999999991</v>
          </cell>
          <cell r="AJ97">
            <v>0</v>
          </cell>
          <cell r="BK97">
            <v>404207.03000000009</v>
          </cell>
        </row>
        <row r="98">
          <cell r="AB98">
            <v>1295.17</v>
          </cell>
          <cell r="AC98">
            <v>17047.600000000002</v>
          </cell>
          <cell r="AD98">
            <v>7683.93</v>
          </cell>
          <cell r="AE98">
            <v>181820.48</v>
          </cell>
          <cell r="AF98">
            <v>90190.16</v>
          </cell>
          <cell r="AG98">
            <v>97753.680000000008</v>
          </cell>
          <cell r="AH98">
            <v>120301.46</v>
          </cell>
          <cell r="AI98">
            <v>61099.07</v>
          </cell>
          <cell r="AJ98">
            <v>69357.59</v>
          </cell>
          <cell r="AK98">
            <v>28215.570000000003</v>
          </cell>
          <cell r="AL98">
            <v>27537.040000000001</v>
          </cell>
          <cell r="AM98">
            <v>2090.1</v>
          </cell>
          <cell r="BK98">
            <v>704391.85</v>
          </cell>
        </row>
        <row r="99">
          <cell r="S99">
            <v>17815.830000000002</v>
          </cell>
          <cell r="T99">
            <v>11874.1</v>
          </cell>
          <cell r="U99">
            <v>2414.6200000000003</v>
          </cell>
          <cell r="V99">
            <v>1067</v>
          </cell>
          <cell r="W99">
            <v>1474.86</v>
          </cell>
          <cell r="Z99">
            <v>0</v>
          </cell>
          <cell r="AA99">
            <v>2443.4</v>
          </cell>
          <cell r="AC99">
            <v>8100.25</v>
          </cell>
          <cell r="BK99">
            <v>45190.060000000005</v>
          </cell>
        </row>
        <row r="100">
          <cell r="S100">
            <v>5697.630000000001</v>
          </cell>
          <cell r="T100">
            <v>8834.7999999999993</v>
          </cell>
          <cell r="U100">
            <v>1516.1100000000001</v>
          </cell>
          <cell r="W100">
            <v>1661.95</v>
          </cell>
          <cell r="AA100">
            <v>817.09</v>
          </cell>
          <cell r="AB100">
            <v>99.75</v>
          </cell>
          <cell r="AC100">
            <v>2021.95</v>
          </cell>
          <cell r="AD100">
            <v>8962.6099999999988</v>
          </cell>
          <cell r="AE100">
            <v>36259.089999999997</v>
          </cell>
          <cell r="AF100">
            <v>74815.399999999994</v>
          </cell>
          <cell r="AG100">
            <v>64650.200000000012</v>
          </cell>
          <cell r="AH100">
            <v>40125.79</v>
          </cell>
          <cell r="AI100">
            <v>20377.54</v>
          </cell>
          <cell r="AJ100">
            <v>8250.3100000000013</v>
          </cell>
          <cell r="AK100">
            <v>8025</v>
          </cell>
          <cell r="AL100">
            <v>8025</v>
          </cell>
          <cell r="AO100">
            <v>37431.26</v>
          </cell>
          <cell r="AP100">
            <v>102336.62000000002</v>
          </cell>
          <cell r="AQ100">
            <v>118628.96999999999</v>
          </cell>
          <cell r="AR100">
            <v>194643.77</v>
          </cell>
          <cell r="AS100">
            <v>22434.09</v>
          </cell>
          <cell r="AT100">
            <v>-2164.63</v>
          </cell>
          <cell r="AU100">
            <v>26.68</v>
          </cell>
          <cell r="AV100">
            <v>-656.38</v>
          </cell>
          <cell r="AW100">
            <v>-1937.8300000000002</v>
          </cell>
          <cell r="AZ100">
            <v>-330.31000000000006</v>
          </cell>
          <cell r="BK100">
            <v>760552.46000000008</v>
          </cell>
        </row>
        <row r="101">
          <cell r="Q101">
            <v>5790.17</v>
          </cell>
          <cell r="R101">
            <v>30350.720000000001</v>
          </cell>
          <cell r="S101">
            <v>1264.54</v>
          </cell>
          <cell r="T101">
            <v>5133.03</v>
          </cell>
          <cell r="U101">
            <v>122.87</v>
          </cell>
          <cell r="V101">
            <v>101.67999999999999</v>
          </cell>
          <cell r="W101">
            <v>4369.4500000000007</v>
          </cell>
          <cell r="X101">
            <v>-143.22</v>
          </cell>
          <cell r="BK101">
            <v>46989.240000000005</v>
          </cell>
        </row>
        <row r="102">
          <cell r="AB102">
            <v>326.35000000000002</v>
          </cell>
          <cell r="AC102">
            <v>10133.910000000002</v>
          </cell>
          <cell r="AD102">
            <v>73.22</v>
          </cell>
          <cell r="AE102">
            <v>2.63</v>
          </cell>
          <cell r="AF102">
            <v>2.11</v>
          </cell>
          <cell r="AN102">
            <v>5.2700000000000005</v>
          </cell>
          <cell r="AO102">
            <v>81.42</v>
          </cell>
          <cell r="AP102">
            <v>6403.8</v>
          </cell>
          <cell r="AQ102">
            <v>65308.580000000016</v>
          </cell>
          <cell r="AR102">
            <v>56765.159999999996</v>
          </cell>
          <cell r="AS102">
            <v>56670.5</v>
          </cell>
          <cell r="AT102">
            <v>91415.55</v>
          </cell>
          <cell r="AU102">
            <v>96781.789999999964</v>
          </cell>
          <cell r="AV102">
            <v>90219.299999999988</v>
          </cell>
          <cell r="AW102">
            <v>38644.19</v>
          </cell>
          <cell r="AX102">
            <v>-574.34999999999968</v>
          </cell>
          <cell r="AY102">
            <v>725.1</v>
          </cell>
          <cell r="AZ102">
            <v>-214.45</v>
          </cell>
          <cell r="BA102">
            <v>1079.75</v>
          </cell>
          <cell r="BC102">
            <v>1891.56</v>
          </cell>
          <cell r="BE102">
            <v>9894.0300000000007</v>
          </cell>
          <cell r="BK102">
            <v>525635.41999999993</v>
          </cell>
        </row>
        <row r="103">
          <cell r="AB103">
            <v>329.02000000000004</v>
          </cell>
          <cell r="AC103">
            <v>7159.26</v>
          </cell>
          <cell r="AD103">
            <v>13574.92</v>
          </cell>
          <cell r="AE103">
            <v>10.53</v>
          </cell>
          <cell r="AF103">
            <v>8.43</v>
          </cell>
          <cell r="AG103">
            <v>22.240000000000002</v>
          </cell>
          <cell r="AH103">
            <v>1686.0200000000002</v>
          </cell>
          <cell r="AI103">
            <v>42023.61</v>
          </cell>
          <cell r="AJ103">
            <v>65567.310000000012</v>
          </cell>
          <cell r="AK103">
            <v>82415.08</v>
          </cell>
          <cell r="AL103">
            <v>89562.59</v>
          </cell>
          <cell r="AM103">
            <v>5778.0699999999988</v>
          </cell>
          <cell r="AO103">
            <v>-1751.52</v>
          </cell>
          <cell r="AP103">
            <v>16157.189999999999</v>
          </cell>
          <cell r="AQ103">
            <v>173.61</v>
          </cell>
          <cell r="AT103">
            <v>2967.9</v>
          </cell>
          <cell r="AU103">
            <v>2151.1499999999996</v>
          </cell>
          <cell r="BK103">
            <v>327835.41000000003</v>
          </cell>
        </row>
        <row r="104">
          <cell r="T104">
            <v>10550.44</v>
          </cell>
          <cell r="U104">
            <v>30.6</v>
          </cell>
          <cell r="W104">
            <v>15048.460000000001</v>
          </cell>
          <cell r="AA104">
            <v>1247.19</v>
          </cell>
          <cell r="AN104">
            <v>13.44</v>
          </cell>
          <cell r="AO104">
            <v>13.450000000000001</v>
          </cell>
          <cell r="AP104">
            <v>13.450000000000001</v>
          </cell>
          <cell r="AQ104">
            <v>49643.93</v>
          </cell>
          <cell r="AR104">
            <v>72162.89</v>
          </cell>
          <cell r="AS104">
            <v>28995.54</v>
          </cell>
          <cell r="AT104">
            <v>202592.57</v>
          </cell>
          <cell r="AU104">
            <v>123350.64</v>
          </cell>
          <cell r="AV104">
            <v>250.60000000000002</v>
          </cell>
          <cell r="AW104">
            <v>7326.7199999999993</v>
          </cell>
          <cell r="AY104">
            <v>-27.29</v>
          </cell>
          <cell r="BD104">
            <v>-7093.9600000000009</v>
          </cell>
          <cell r="BK104">
            <v>504118.66999999993</v>
          </cell>
        </row>
        <row r="105">
          <cell r="AC105">
            <v>21293.46</v>
          </cell>
          <cell r="AD105">
            <v>70299.22</v>
          </cell>
          <cell r="AE105">
            <v>89053.07</v>
          </cell>
          <cell r="AF105">
            <v>164200.80000000002</v>
          </cell>
          <cell r="AG105">
            <v>54325.120000000003</v>
          </cell>
          <cell r="AH105">
            <v>24041.620000000003</v>
          </cell>
          <cell r="AI105">
            <v>19135.25</v>
          </cell>
          <cell r="BK105">
            <v>442348.54000000004</v>
          </cell>
        </row>
        <row r="106">
          <cell r="AD106">
            <v>3395.2400000000007</v>
          </cell>
          <cell r="AE106">
            <v>7356.7599999999984</v>
          </cell>
          <cell r="AF106">
            <v>50993.899999999994</v>
          </cell>
          <cell r="AG106">
            <v>7624.9400000000005</v>
          </cell>
          <cell r="AH106">
            <v>1383.92</v>
          </cell>
          <cell r="BK106">
            <v>70754.759999999995</v>
          </cell>
        </row>
        <row r="107">
          <cell r="AI107">
            <v>11996.72</v>
          </cell>
          <cell r="AJ107">
            <v>51932.28</v>
          </cell>
          <cell r="AK107">
            <v>8366.6400000000012</v>
          </cell>
          <cell r="AL107">
            <v>-31.82</v>
          </cell>
          <cell r="AN107">
            <v>281.39999999999998</v>
          </cell>
          <cell r="AR107">
            <v>10553.320000000002</v>
          </cell>
          <cell r="BK107">
            <v>83098.539999999994</v>
          </cell>
        </row>
        <row r="108">
          <cell r="AI108">
            <v>60860.82</v>
          </cell>
          <cell r="AJ108">
            <v>64213.280000000006</v>
          </cell>
          <cell r="AK108">
            <v>48381.459999999992</v>
          </cell>
          <cell r="AL108">
            <v>46122.559999999998</v>
          </cell>
          <cell r="AM108">
            <v>52.59</v>
          </cell>
          <cell r="AN108">
            <v>31165.57</v>
          </cell>
          <cell r="AO108">
            <v>559.80000000000007</v>
          </cell>
          <cell r="AP108">
            <v>22.9</v>
          </cell>
          <cell r="BK108">
            <v>251378.97999999998</v>
          </cell>
        </row>
        <row r="109">
          <cell r="AK109">
            <v>34552.200000000004</v>
          </cell>
          <cell r="AL109">
            <v>141597.11999999997</v>
          </cell>
          <cell r="AM109">
            <v>-5084.4000000000033</v>
          </cell>
          <cell r="AN109">
            <v>45394.130000000005</v>
          </cell>
          <cell r="AO109">
            <v>3973.650000000001</v>
          </cell>
          <cell r="AQ109">
            <v>43.89</v>
          </cell>
          <cell r="BK109">
            <v>220476.59</v>
          </cell>
        </row>
        <row r="110">
          <cell r="AK110">
            <v>447.99</v>
          </cell>
          <cell r="AL110">
            <v>29348.17</v>
          </cell>
          <cell r="AM110">
            <v>-4.54</v>
          </cell>
          <cell r="AP110">
            <v>16737.95</v>
          </cell>
          <cell r="BK110">
            <v>46529.57</v>
          </cell>
        </row>
        <row r="111">
          <cell r="AN111">
            <v>148.99</v>
          </cell>
          <cell r="AO111">
            <v>18922.13</v>
          </cell>
          <cell r="AP111">
            <v>17148.559999999998</v>
          </cell>
          <cell r="AQ111">
            <v>5483.76</v>
          </cell>
          <cell r="AR111">
            <v>2370.3199999999997</v>
          </cell>
          <cell r="AS111">
            <v>28245.899999999998</v>
          </cell>
          <cell r="AT111">
            <v>50631.46</v>
          </cell>
          <cell r="AU111">
            <v>71596.199999999983</v>
          </cell>
          <cell r="AV111">
            <v>37623.270000000004</v>
          </cell>
          <cell r="AW111">
            <v>32238.760000000002</v>
          </cell>
          <cell r="AX111">
            <v>16278.54</v>
          </cell>
          <cell r="AY111">
            <v>-3271.14</v>
          </cell>
          <cell r="AZ111">
            <v>3372.74</v>
          </cell>
          <cell r="BA111">
            <v>2775.61</v>
          </cell>
          <cell r="BB111">
            <v>8951.76</v>
          </cell>
          <cell r="BC111">
            <v>2890.48</v>
          </cell>
          <cell r="BD111">
            <v>6574.8</v>
          </cell>
          <cell r="BK111">
            <v>301982.1399999999</v>
          </cell>
        </row>
        <row r="112">
          <cell r="AN112">
            <v>482.94000000000005</v>
          </cell>
          <cell r="AO112">
            <v>4115.63</v>
          </cell>
          <cell r="AP112">
            <v>12460.509999999998</v>
          </cell>
          <cell r="AQ112">
            <v>53727.30000000001</v>
          </cell>
          <cell r="AR112">
            <v>34752.980000000003</v>
          </cell>
          <cell r="AS112">
            <v>57320.959999999999</v>
          </cell>
          <cell r="AT112">
            <v>7935.2600000000011</v>
          </cell>
          <cell r="AU112">
            <v>13791.739999999998</v>
          </cell>
          <cell r="AV112">
            <v>52303.240000000005</v>
          </cell>
          <cell r="AW112">
            <v>119114.77000000002</v>
          </cell>
          <cell r="AX112">
            <v>160262.35</v>
          </cell>
          <cell r="AY112">
            <v>58560.380000000005</v>
          </cell>
          <cell r="AZ112">
            <v>7111.8799999999992</v>
          </cell>
          <cell r="BA112">
            <v>2616.4100000000003</v>
          </cell>
          <cell r="BB112">
            <v>32815.54</v>
          </cell>
          <cell r="BC112">
            <v>3662.8700000000003</v>
          </cell>
          <cell r="BD112">
            <v>6477.97</v>
          </cell>
          <cell r="BE112">
            <v>1070.77</v>
          </cell>
          <cell r="BK112">
            <v>628583.50000000012</v>
          </cell>
        </row>
        <row r="113">
          <cell r="AN113">
            <v>12215.740000000002</v>
          </cell>
          <cell r="AO113">
            <v>32618.950000000004</v>
          </cell>
          <cell r="AP113">
            <v>34906.869999999995</v>
          </cell>
          <cell r="AQ113">
            <v>33521.56</v>
          </cell>
          <cell r="AR113">
            <v>45254.380000000005</v>
          </cell>
          <cell r="AS113">
            <v>13216.83</v>
          </cell>
          <cell r="AT113">
            <v>33034.080000000002</v>
          </cell>
          <cell r="AU113">
            <v>100766.68000000002</v>
          </cell>
          <cell r="AV113">
            <v>698.42000000000007</v>
          </cell>
          <cell r="AW113">
            <v>164.99</v>
          </cell>
          <cell r="BK113">
            <v>306398.49999999994</v>
          </cell>
        </row>
        <row r="114">
          <cell r="AN114">
            <v>3087.26</v>
          </cell>
          <cell r="AO114">
            <v>64162.359999999993</v>
          </cell>
          <cell r="AP114">
            <v>66801.12000000001</v>
          </cell>
          <cell r="AQ114">
            <v>81292.34</v>
          </cell>
          <cell r="AR114">
            <v>68012.59</v>
          </cell>
          <cell r="AS114">
            <v>526.37</v>
          </cell>
          <cell r="AT114">
            <v>69495.3</v>
          </cell>
          <cell r="AU114">
            <v>56720.520000000004</v>
          </cell>
          <cell r="AV114">
            <v>26092.879999999997</v>
          </cell>
          <cell r="AW114">
            <v>23476.74</v>
          </cell>
          <cell r="AX114">
            <v>230.14000000000001</v>
          </cell>
          <cell r="AY114">
            <v>-2617.4899999999998</v>
          </cell>
          <cell r="AZ114">
            <v>116.7999999999999</v>
          </cell>
          <cell r="BA114">
            <v>68.680000000000007</v>
          </cell>
          <cell r="BK114">
            <v>457465.61</v>
          </cell>
        </row>
        <row r="115">
          <cell r="AO115">
            <v>191.55</v>
          </cell>
          <cell r="AP115">
            <v>0.1</v>
          </cell>
          <cell r="AQ115">
            <v>61493.000000000007</v>
          </cell>
          <cell r="AR115">
            <v>55424.709999999992</v>
          </cell>
          <cell r="AS115">
            <v>211264.92</v>
          </cell>
          <cell r="AT115">
            <v>44229.83</v>
          </cell>
          <cell r="AU115">
            <v>102929.45999999999</v>
          </cell>
          <cell r="AV115">
            <v>1227.83</v>
          </cell>
          <cell r="AW115">
            <v>1884.75</v>
          </cell>
          <cell r="AX115">
            <v>589.87999999999988</v>
          </cell>
          <cell r="AZ115">
            <v>-285.41000000000003</v>
          </cell>
          <cell r="BB115">
            <v>-2280.8199999999997</v>
          </cell>
          <cell r="BK115">
            <v>476669.8000000001</v>
          </cell>
        </row>
        <row r="116">
          <cell r="AO116">
            <v>362.84</v>
          </cell>
          <cell r="AP116">
            <v>0.18</v>
          </cell>
          <cell r="AQ116">
            <v>0.33</v>
          </cell>
          <cell r="AR116">
            <v>1414.3200000000002</v>
          </cell>
          <cell r="AS116">
            <v>46610.75</v>
          </cell>
          <cell r="AT116">
            <v>6865.45</v>
          </cell>
          <cell r="AU116">
            <v>144230.74</v>
          </cell>
          <cell r="AV116">
            <v>66479.259999999995</v>
          </cell>
          <cell r="AW116">
            <v>24570.02</v>
          </cell>
          <cell r="AX116">
            <v>49906.429999999993</v>
          </cell>
          <cell r="AY116">
            <v>-0.01</v>
          </cell>
          <cell r="AZ116">
            <v>20.46</v>
          </cell>
          <cell r="BD116">
            <v>-6086.8</v>
          </cell>
          <cell r="BK116">
            <v>334373.97000000003</v>
          </cell>
        </row>
        <row r="117">
          <cell r="AO117">
            <v>124448.27000000002</v>
          </cell>
          <cell r="AP117">
            <v>55790.779999999992</v>
          </cell>
          <cell r="AQ117">
            <v>118623.16</v>
          </cell>
          <cell r="AR117">
            <v>167234.59000000003</v>
          </cell>
          <cell r="AS117">
            <v>98888.749999999971</v>
          </cell>
          <cell r="AT117">
            <v>103314.62</v>
          </cell>
          <cell r="AU117">
            <v>2362.61</v>
          </cell>
          <cell r="AY117">
            <v>422.49</v>
          </cell>
          <cell r="BK117">
            <v>671085.27</v>
          </cell>
        </row>
        <row r="118">
          <cell r="AO118">
            <v>1614.25</v>
          </cell>
          <cell r="AP118">
            <v>0.81</v>
          </cell>
          <cell r="AQ118">
            <v>1.45</v>
          </cell>
          <cell r="AR118">
            <v>2.1</v>
          </cell>
          <cell r="AS118">
            <v>3.08</v>
          </cell>
          <cell r="AT118">
            <v>55739.66</v>
          </cell>
          <cell r="AU118">
            <v>122022.26999999999</v>
          </cell>
          <cell r="AV118">
            <v>105894.77999999996</v>
          </cell>
          <cell r="AW118">
            <v>94831.78</v>
          </cell>
          <cell r="AX118">
            <v>104514.42</v>
          </cell>
          <cell r="AY118">
            <v>-5966.0199999999995</v>
          </cell>
          <cell r="AZ118">
            <v>393.39</v>
          </cell>
          <cell r="BB118">
            <v>0</v>
          </cell>
          <cell r="BK118">
            <v>479051.96999999991</v>
          </cell>
        </row>
        <row r="119">
          <cell r="AO119">
            <v>286.96000000000004</v>
          </cell>
          <cell r="AP119">
            <v>0.14000000000000001</v>
          </cell>
          <cell r="AQ119">
            <v>0.26</v>
          </cell>
          <cell r="AR119">
            <v>76638.98</v>
          </cell>
          <cell r="AS119">
            <v>148939.04999999999</v>
          </cell>
          <cell r="AT119">
            <v>234562.25999999998</v>
          </cell>
          <cell r="AU119">
            <v>300776.35000000009</v>
          </cell>
          <cell r="AV119">
            <v>-26674.750000000004</v>
          </cell>
          <cell r="AW119">
            <v>16622.97</v>
          </cell>
          <cell r="AX119">
            <v>63836.800000000003</v>
          </cell>
          <cell r="AY119">
            <v>0</v>
          </cell>
          <cell r="AZ119">
            <v>18325.29</v>
          </cell>
          <cell r="BB119">
            <v>-1244.6500000000001</v>
          </cell>
          <cell r="BD119">
            <v>212.17999999999998</v>
          </cell>
          <cell r="BK119">
            <v>832281.84000000008</v>
          </cell>
        </row>
        <row r="120">
          <cell r="AO120">
            <v>2143.0299999999997</v>
          </cell>
          <cell r="AP120">
            <v>53.92</v>
          </cell>
          <cell r="AQ120">
            <v>1.98</v>
          </cell>
          <cell r="AR120">
            <v>2.8600000000000003</v>
          </cell>
          <cell r="AS120">
            <v>4.18</v>
          </cell>
          <cell r="AT120">
            <v>3.9699999999999998</v>
          </cell>
          <cell r="AU120">
            <v>87859.23000000001</v>
          </cell>
          <cell r="AV120">
            <v>68533.2</v>
          </cell>
          <cell r="AW120">
            <v>106122.86</v>
          </cell>
          <cell r="AX120">
            <v>79986.649999999994</v>
          </cell>
          <cell r="AY120">
            <v>0</v>
          </cell>
          <cell r="AZ120">
            <v>-763.83</v>
          </cell>
          <cell r="BA120">
            <v>-10528.79</v>
          </cell>
          <cell r="BD120">
            <v>-1985.37</v>
          </cell>
          <cell r="BK120">
            <v>331433.89</v>
          </cell>
        </row>
        <row r="121">
          <cell r="AO121">
            <v>106.63000000000001</v>
          </cell>
          <cell r="AP121">
            <v>0.05</v>
          </cell>
          <cell r="AQ121">
            <v>0.09</v>
          </cell>
          <cell r="AR121">
            <v>0.13</v>
          </cell>
          <cell r="AS121">
            <v>22813.57</v>
          </cell>
          <cell r="AT121">
            <v>18805.280000000002</v>
          </cell>
          <cell r="AU121">
            <v>91027.09</v>
          </cell>
          <cell r="AV121">
            <v>49495.5</v>
          </cell>
          <cell r="AW121">
            <v>27169.51</v>
          </cell>
          <cell r="AX121">
            <v>55594.650000000009</v>
          </cell>
          <cell r="AZ121">
            <v>-264.63</v>
          </cell>
          <cell r="BA121">
            <v>-4167.16</v>
          </cell>
          <cell r="BD121">
            <v>-2133.5100000000002</v>
          </cell>
          <cell r="BK121">
            <v>258447.19999999998</v>
          </cell>
        </row>
        <row r="122">
          <cell r="AO122">
            <v>2112.83</v>
          </cell>
          <cell r="AP122">
            <v>53.17</v>
          </cell>
          <cell r="AQ122">
            <v>1.9500000000000002</v>
          </cell>
          <cell r="AR122">
            <v>21536.240000000002</v>
          </cell>
          <cell r="AS122">
            <v>82880.350000000006</v>
          </cell>
          <cell r="AT122">
            <v>40848.57</v>
          </cell>
          <cell r="AU122">
            <v>44293.37</v>
          </cell>
          <cell r="AV122">
            <v>34747.230000000003</v>
          </cell>
          <cell r="AW122">
            <v>34584.480000000003</v>
          </cell>
          <cell r="AX122">
            <v>17258.38</v>
          </cell>
          <cell r="AY122">
            <v>49191.760000000009</v>
          </cell>
          <cell r="AZ122">
            <v>10557.78</v>
          </cell>
          <cell r="BA122">
            <v>754.21</v>
          </cell>
          <cell r="BB122">
            <v>12329.910000000002</v>
          </cell>
          <cell r="BC122">
            <v>0</v>
          </cell>
          <cell r="BK122">
            <v>351150.23000000004</v>
          </cell>
        </row>
        <row r="123">
          <cell r="AO123">
            <v>18493.63</v>
          </cell>
          <cell r="AP123">
            <v>58655.37999999999</v>
          </cell>
          <cell r="AQ123">
            <v>72721.23</v>
          </cell>
          <cell r="AR123">
            <v>23089.43</v>
          </cell>
          <cell r="AS123">
            <v>24679.280000000002</v>
          </cell>
          <cell r="AT123">
            <v>42371.630000000005</v>
          </cell>
          <cell r="AU123">
            <v>42722.260000000009</v>
          </cell>
          <cell r="AV123">
            <v>52126.570000000007</v>
          </cell>
          <cell r="AW123">
            <v>6186.4</v>
          </cell>
          <cell r="AX123">
            <v>13514.99</v>
          </cell>
          <cell r="AZ123">
            <v>-534.58000000000004</v>
          </cell>
          <cell r="BB123">
            <v>5806.11</v>
          </cell>
          <cell r="BK123">
            <v>359832.32999999996</v>
          </cell>
        </row>
        <row r="124">
          <cell r="AO124">
            <v>3566.61</v>
          </cell>
          <cell r="AP124">
            <v>1382.63</v>
          </cell>
          <cell r="AQ124">
            <v>4.45</v>
          </cell>
          <cell r="AR124">
            <v>10342.34</v>
          </cell>
          <cell r="AS124">
            <v>9020.82</v>
          </cell>
          <cell r="AT124">
            <v>33149.570000000007</v>
          </cell>
          <cell r="AU124">
            <v>84806.77</v>
          </cell>
          <cell r="AV124">
            <v>72460.820000000022</v>
          </cell>
          <cell r="AW124">
            <v>82445.19</v>
          </cell>
          <cell r="AX124">
            <v>23444.080000000002</v>
          </cell>
          <cell r="AY124">
            <v>-4646.32</v>
          </cell>
          <cell r="AZ124">
            <v>-167.97</v>
          </cell>
          <cell r="BC124">
            <v>5997.54</v>
          </cell>
          <cell r="BD124">
            <v>954.14</v>
          </cell>
          <cell r="BK124">
            <v>322760.67000000004</v>
          </cell>
        </row>
        <row r="125">
          <cell r="AO125">
            <v>1628.4600000000003</v>
          </cell>
          <cell r="AP125">
            <v>38286.870000000003</v>
          </cell>
          <cell r="AQ125">
            <v>179941.78000000003</v>
          </cell>
          <cell r="AR125">
            <v>77944.77</v>
          </cell>
          <cell r="AS125">
            <v>12086.259999999998</v>
          </cell>
          <cell r="AT125">
            <v>68335.900000000009</v>
          </cell>
          <cell r="AU125">
            <v>52472.479999999989</v>
          </cell>
          <cell r="BK125">
            <v>430696.52000000008</v>
          </cell>
        </row>
        <row r="126">
          <cell r="AO126">
            <v>42321.44000000001</v>
          </cell>
          <cell r="AP126">
            <v>94200.39</v>
          </cell>
          <cell r="AQ126">
            <v>154597.36999999997</v>
          </cell>
          <cell r="AR126">
            <v>52270.87</v>
          </cell>
          <cell r="AS126">
            <v>43678.720000000001</v>
          </cell>
          <cell r="AT126">
            <v>17367.500000000004</v>
          </cell>
          <cell r="AU126">
            <v>42897.23</v>
          </cell>
          <cell r="BK126">
            <v>447333.5199999999</v>
          </cell>
        </row>
        <row r="127">
          <cell r="AO127">
            <v>1519.41</v>
          </cell>
          <cell r="AP127">
            <v>1136.05</v>
          </cell>
          <cell r="AQ127">
            <v>510.43</v>
          </cell>
          <cell r="AR127">
            <v>26298.2</v>
          </cell>
          <cell r="AS127">
            <v>22054.169999999995</v>
          </cell>
          <cell r="AT127">
            <v>167632.11999999997</v>
          </cell>
          <cell r="AU127">
            <v>63579.42</v>
          </cell>
          <cell r="AV127">
            <v>6044.37</v>
          </cell>
          <cell r="AW127">
            <v>2328.2199999999998</v>
          </cell>
          <cell r="AX127">
            <v>1666.04</v>
          </cell>
          <cell r="AY127">
            <v>0</v>
          </cell>
          <cell r="AZ127">
            <v>-437.02</v>
          </cell>
          <cell r="BD127">
            <v>-155.57999999999998</v>
          </cell>
          <cell r="BF127">
            <v>2500.41</v>
          </cell>
          <cell r="BK127">
            <v>294676.23999999982</v>
          </cell>
        </row>
        <row r="128">
          <cell r="AO128">
            <v>1448.6100000000001</v>
          </cell>
          <cell r="AP128">
            <v>57289.599999999999</v>
          </cell>
          <cell r="AQ128">
            <v>79585.119999999995</v>
          </cell>
          <cell r="AR128">
            <v>18771.650000000001</v>
          </cell>
          <cell r="AU128">
            <v>420.26</v>
          </cell>
          <cell r="BA128">
            <v>79669.100000000006</v>
          </cell>
          <cell r="BB128">
            <v>-101555.94000000002</v>
          </cell>
          <cell r="BC128">
            <v>1263.1000000000001</v>
          </cell>
          <cell r="BD128">
            <v>0</v>
          </cell>
          <cell r="BE128">
            <v>549.71</v>
          </cell>
          <cell r="BG128">
            <v>1289</v>
          </cell>
          <cell r="BK128">
            <v>138730.20999999996</v>
          </cell>
        </row>
        <row r="129">
          <cell r="AP129">
            <v>31.35</v>
          </cell>
          <cell r="AQ129">
            <v>0.03</v>
          </cell>
          <cell r="AR129">
            <v>0.04</v>
          </cell>
          <cell r="AS129">
            <v>4383.2899999999991</v>
          </cell>
          <cell r="AT129">
            <v>92964.76</v>
          </cell>
          <cell r="AU129">
            <v>123343.42000000001</v>
          </cell>
          <cell r="AV129">
            <v>20930.27</v>
          </cell>
          <cell r="AW129">
            <v>23228.93</v>
          </cell>
          <cell r="AX129">
            <v>6369.58</v>
          </cell>
          <cell r="AY129">
            <v>0</v>
          </cell>
          <cell r="AZ129">
            <v>-212.01</v>
          </cell>
          <cell r="BB129">
            <v>16.59</v>
          </cell>
          <cell r="BF129">
            <v>985.44</v>
          </cell>
          <cell r="BK129">
            <v>272041.69000000006</v>
          </cell>
        </row>
        <row r="130">
          <cell r="AQ130">
            <v>23212.369999999995</v>
          </cell>
          <cell r="AR130">
            <v>56638.87</v>
          </cell>
          <cell r="AS130">
            <v>65762.280000000013</v>
          </cell>
          <cell r="AT130">
            <v>60836.77</v>
          </cell>
          <cell r="AU130">
            <v>43846.039999999994</v>
          </cell>
          <cell r="AV130">
            <v>45925.96</v>
          </cell>
          <cell r="AW130">
            <v>20655.350000000006</v>
          </cell>
          <cell r="AX130">
            <v>5001.68</v>
          </cell>
          <cell r="AY130">
            <v>52988.880000000005</v>
          </cell>
          <cell r="AZ130">
            <v>-147.01</v>
          </cell>
          <cell r="BG130">
            <v>676.82999999999993</v>
          </cell>
          <cell r="BK130">
            <v>375398.02</v>
          </cell>
        </row>
        <row r="131">
          <cell r="AR131">
            <v>25050.189999999995</v>
          </cell>
          <cell r="AS131">
            <v>28885.949999999997</v>
          </cell>
          <cell r="AT131">
            <v>10051.44</v>
          </cell>
          <cell r="AU131">
            <v>101794.27999999998</v>
          </cell>
          <cell r="AV131">
            <v>8444.7899999999991</v>
          </cell>
          <cell r="AW131">
            <v>13883.930000000002</v>
          </cell>
          <cell r="AX131">
            <v>18772.22</v>
          </cell>
          <cell r="AY131">
            <v>0</v>
          </cell>
          <cell r="BD131">
            <v>-3609.61</v>
          </cell>
          <cell r="BK131">
            <v>203273.19</v>
          </cell>
        </row>
        <row r="132">
          <cell r="AR132">
            <v>55673.530000000006</v>
          </cell>
          <cell r="AS132">
            <v>49918.049999999988</v>
          </cell>
          <cell r="AT132">
            <v>55776.11</v>
          </cell>
          <cell r="AU132">
            <v>84343.92</v>
          </cell>
          <cell r="AV132">
            <v>1252.1300000000001</v>
          </cell>
          <cell r="AW132">
            <v>5315.85</v>
          </cell>
          <cell r="AX132">
            <v>9407.7400000000016</v>
          </cell>
          <cell r="AY132">
            <v>0</v>
          </cell>
          <cell r="BD132">
            <v>-1512.34</v>
          </cell>
          <cell r="BK132">
            <v>260174.99</v>
          </cell>
        </row>
        <row r="133">
          <cell r="AR133">
            <v>486.35000000000008</v>
          </cell>
          <cell r="AS133">
            <v>573.74</v>
          </cell>
          <cell r="AT133">
            <v>17800.61</v>
          </cell>
          <cell r="AU133">
            <v>19076.82</v>
          </cell>
          <cell r="AV133">
            <v>80735.56</v>
          </cell>
          <cell r="AW133">
            <v>40406.959999999999</v>
          </cell>
          <cell r="AX133">
            <v>63968.930000000008</v>
          </cell>
          <cell r="AY133">
            <v>0.05</v>
          </cell>
          <cell r="BB133">
            <v>6786.79</v>
          </cell>
          <cell r="BK133">
            <v>229835.81000000003</v>
          </cell>
        </row>
        <row r="134">
          <cell r="AS134">
            <v>27.52</v>
          </cell>
          <cell r="AT134">
            <v>31538.05</v>
          </cell>
          <cell r="AU134">
            <v>131698.38</v>
          </cell>
          <cell r="AV134">
            <v>84146</v>
          </cell>
          <cell r="AW134">
            <v>25640.769999999997</v>
          </cell>
          <cell r="AX134">
            <v>98958.550000000017</v>
          </cell>
          <cell r="AY134">
            <v>2500.75</v>
          </cell>
          <cell r="AZ134">
            <v>509.16999999999996</v>
          </cell>
          <cell r="BB134">
            <v>1742.27</v>
          </cell>
          <cell r="BC134">
            <v>7066.66</v>
          </cell>
          <cell r="BF134">
            <v>-4622.05</v>
          </cell>
          <cell r="BH134">
            <v>-1966.4</v>
          </cell>
          <cell r="BJ134">
            <v>0</v>
          </cell>
          <cell r="BK134">
            <v>377239.67</v>
          </cell>
        </row>
        <row r="135">
          <cell r="AS135">
            <v>10263.43</v>
          </cell>
          <cell r="AT135">
            <v>16198.180000000002</v>
          </cell>
          <cell r="AU135">
            <v>78323.039999999994</v>
          </cell>
          <cell r="AV135">
            <v>3544.26</v>
          </cell>
          <cell r="AW135">
            <v>5642.7300000000005</v>
          </cell>
          <cell r="AX135">
            <v>11104.800000000001</v>
          </cell>
          <cell r="AY135">
            <v>0.01</v>
          </cell>
          <cell r="AZ135">
            <v>384.18000000000006</v>
          </cell>
          <cell r="BA135">
            <v>153.99</v>
          </cell>
          <cell r="BK135">
            <v>125614.61999999998</v>
          </cell>
        </row>
        <row r="136">
          <cell r="AU136">
            <v>201280.26999999996</v>
          </cell>
          <cell r="AV136">
            <v>132168.76</v>
          </cell>
          <cell r="AW136">
            <v>21908.920000000002</v>
          </cell>
          <cell r="AX136">
            <v>31259.340000000004</v>
          </cell>
          <cell r="AY136">
            <v>-13177.650000000001</v>
          </cell>
          <cell r="AZ136">
            <v>25789.940000000002</v>
          </cell>
          <cell r="BA136">
            <v>256.39</v>
          </cell>
          <cell r="BB136">
            <v>-844.04</v>
          </cell>
          <cell r="BK136">
            <v>398641.93</v>
          </cell>
        </row>
        <row r="137">
          <cell r="AX137">
            <v>1701.14</v>
          </cell>
          <cell r="AY137">
            <v>969.18</v>
          </cell>
          <cell r="AZ137">
            <v>4009.71</v>
          </cell>
          <cell r="BA137">
            <v>39.409999999999997</v>
          </cell>
          <cell r="BB137">
            <v>37040.560000000005</v>
          </cell>
          <cell r="BC137">
            <v>18493.34</v>
          </cell>
          <cell r="BD137">
            <v>99306.299999999988</v>
          </cell>
          <cell r="BE137">
            <v>0</v>
          </cell>
          <cell r="BF137">
            <v>19576.66</v>
          </cell>
          <cell r="BG137">
            <v>22475.5</v>
          </cell>
          <cell r="BH137">
            <v>981.13</v>
          </cell>
          <cell r="BI137">
            <v>3907.2400000000002</v>
          </cell>
          <cell r="BJ137">
            <v>2497.73</v>
          </cell>
          <cell r="BK137">
            <v>210997.90000000002</v>
          </cell>
        </row>
        <row r="138">
          <cell r="AY138">
            <v>3051.1099999999997</v>
          </cell>
          <cell r="AZ138">
            <v>31043.39</v>
          </cell>
          <cell r="BA138">
            <v>51090.650000000009</v>
          </cell>
          <cell r="BB138">
            <v>182826.30000000005</v>
          </cell>
          <cell r="BC138">
            <v>130581.70999999999</v>
          </cell>
          <cell r="BD138">
            <v>149528.50999999998</v>
          </cell>
          <cell r="BE138">
            <v>13561.44</v>
          </cell>
          <cell r="BF138">
            <v>3201.8700000000003</v>
          </cell>
          <cell r="BG138">
            <v>9489.1999999999989</v>
          </cell>
          <cell r="BI138">
            <v>11703.66</v>
          </cell>
          <cell r="BK138">
            <v>586077.84</v>
          </cell>
        </row>
        <row r="139">
          <cell r="AY139">
            <v>6669.6600000000008</v>
          </cell>
          <cell r="AZ139">
            <v>1309.2999999999997</v>
          </cell>
          <cell r="BA139">
            <v>2352</v>
          </cell>
          <cell r="BB139">
            <v>37295.15</v>
          </cell>
          <cell r="BC139">
            <v>654.84</v>
          </cell>
          <cell r="BD139">
            <v>1318.43</v>
          </cell>
          <cell r="BE139">
            <v>2889.5099999999998</v>
          </cell>
          <cell r="BG139">
            <v>488.78</v>
          </cell>
          <cell r="BI139">
            <v>-530.69000000000005</v>
          </cell>
          <cell r="BJ139">
            <v>283.08000000000004</v>
          </cell>
          <cell r="BK139">
            <v>52730.06</v>
          </cell>
        </row>
        <row r="140">
          <cell r="AY140">
            <v>3440.03</v>
          </cell>
          <cell r="AZ140">
            <v>30266.989999999998</v>
          </cell>
          <cell r="BA140">
            <v>1670.43</v>
          </cell>
          <cell r="BB140">
            <v>56681.37000000001</v>
          </cell>
          <cell r="BC140">
            <v>134443.86000000002</v>
          </cell>
          <cell r="BD140">
            <v>69157.600000000006</v>
          </cell>
          <cell r="BE140">
            <v>13995.830000000005</v>
          </cell>
          <cell r="BF140">
            <v>18355.419999999998</v>
          </cell>
          <cell r="BG140">
            <v>42688.6</v>
          </cell>
          <cell r="BH140">
            <v>0</v>
          </cell>
          <cell r="BJ140">
            <v>1583.0900000000001</v>
          </cell>
          <cell r="BK140">
            <v>372283.22000000003</v>
          </cell>
        </row>
        <row r="141">
          <cell r="AY141">
            <v>35534.57</v>
          </cell>
          <cell r="AZ141">
            <v>3695.1799999999994</v>
          </cell>
          <cell r="BA141">
            <v>4391.2700000000004</v>
          </cell>
          <cell r="BB141">
            <v>-34472.69</v>
          </cell>
          <cell r="BC141">
            <v>-6748.5200000000023</v>
          </cell>
          <cell r="BG141">
            <v>32333.950000000004</v>
          </cell>
          <cell r="BH141">
            <v>28228.810000000005</v>
          </cell>
          <cell r="BI141">
            <v>56933.98</v>
          </cell>
          <cell r="BJ141">
            <v>7432.4600000000009</v>
          </cell>
          <cell r="BK141">
            <v>127329.01000000002</v>
          </cell>
        </row>
        <row r="142">
          <cell r="AY142">
            <v>5143.3899999999994</v>
          </cell>
          <cell r="AZ142">
            <v>26537.579999999998</v>
          </cell>
          <cell r="BA142">
            <v>165388.23000000004</v>
          </cell>
          <cell r="BB142">
            <v>-101100.22000000002</v>
          </cell>
          <cell r="BC142">
            <v>-8816.64</v>
          </cell>
          <cell r="BD142">
            <v>12123.35</v>
          </cell>
          <cell r="BE142">
            <v>0</v>
          </cell>
          <cell r="BK142">
            <v>99275.690000000031</v>
          </cell>
        </row>
        <row r="143">
          <cell r="AZ143">
            <v>1258.5600000000002</v>
          </cell>
          <cell r="BA143">
            <v>138543.62</v>
          </cell>
          <cell r="BB143">
            <v>51338.770000000004</v>
          </cell>
          <cell r="BC143">
            <v>83353.36</v>
          </cell>
          <cell r="BD143">
            <v>124914.69</v>
          </cell>
          <cell r="BE143">
            <v>2.0000000004074536E-2</v>
          </cell>
          <cell r="BF143">
            <v>572.96</v>
          </cell>
          <cell r="BG143">
            <v>1205.5999999999999</v>
          </cell>
          <cell r="BJ143">
            <v>9872.2599999999984</v>
          </cell>
          <cell r="BK143">
            <v>411059.84</v>
          </cell>
        </row>
        <row r="144">
          <cell r="AZ144">
            <v>41255.51</v>
          </cell>
          <cell r="BA144">
            <v>12072.77</v>
          </cell>
          <cell r="BB144">
            <v>271.20999999999992</v>
          </cell>
          <cell r="BC144">
            <v>8183.5800000000017</v>
          </cell>
          <cell r="BE144">
            <v>1119.99</v>
          </cell>
          <cell r="BG144">
            <v>2523.23</v>
          </cell>
          <cell r="BK144">
            <v>65426.29</v>
          </cell>
        </row>
        <row r="145">
          <cell r="AZ145">
            <v>44904.72</v>
          </cell>
          <cell r="BA145">
            <v>218435.58</v>
          </cell>
          <cell r="BB145">
            <v>19231.63</v>
          </cell>
          <cell r="BC145">
            <v>22637.809999999998</v>
          </cell>
          <cell r="BD145">
            <v>1473.3200000000004</v>
          </cell>
          <cell r="BE145">
            <v>9833.119999999999</v>
          </cell>
          <cell r="BF145">
            <v>1081.47</v>
          </cell>
          <cell r="BG145">
            <v>6830.75</v>
          </cell>
          <cell r="BK145">
            <v>324428.39999999997</v>
          </cell>
        </row>
        <row r="146">
          <cell r="AZ146">
            <v>11216.460000000003</v>
          </cell>
          <cell r="BA146">
            <v>226915.35</v>
          </cell>
          <cell r="BB146">
            <v>6952.8799999999992</v>
          </cell>
          <cell r="BC146">
            <v>10132.5</v>
          </cell>
          <cell r="BD146">
            <v>5669.5300000000007</v>
          </cell>
          <cell r="BE146">
            <v>36011.01</v>
          </cell>
          <cell r="BF146">
            <v>15107.61</v>
          </cell>
          <cell r="BG146">
            <v>199947.80000000002</v>
          </cell>
          <cell r="BH146">
            <v>16669.219999999998</v>
          </cell>
          <cell r="BI146">
            <v>1478.3799999999999</v>
          </cell>
          <cell r="BJ146">
            <v>47016.83</v>
          </cell>
          <cell r="BK146">
            <v>577117.56999999995</v>
          </cell>
        </row>
        <row r="147">
          <cell r="AZ147">
            <v>6222.12</v>
          </cell>
          <cell r="BA147">
            <v>72614.75999999998</v>
          </cell>
          <cell r="BB147">
            <v>43673.340000000018</v>
          </cell>
          <cell r="BC147">
            <v>79768.249999999971</v>
          </cell>
          <cell r="BD147">
            <v>109855.69</v>
          </cell>
          <cell r="BE147">
            <v>22616.04</v>
          </cell>
          <cell r="BF147">
            <v>49610.330000000009</v>
          </cell>
          <cell r="BG147">
            <v>84395.889999999985</v>
          </cell>
          <cell r="BH147">
            <v>26692.100000000002</v>
          </cell>
          <cell r="BI147">
            <v>42351.78</v>
          </cell>
          <cell r="BJ147">
            <v>335.26</v>
          </cell>
          <cell r="BK147">
            <v>538135.55999999994</v>
          </cell>
        </row>
        <row r="148">
          <cell r="AZ148">
            <v>52757.669999999984</v>
          </cell>
          <cell r="BA148">
            <v>182122.31</v>
          </cell>
          <cell r="BB148">
            <v>69231.899999999994</v>
          </cell>
          <cell r="BC148">
            <v>337110.45999999996</v>
          </cell>
          <cell r="BD148">
            <v>146552.98000000001</v>
          </cell>
          <cell r="BE148">
            <v>14617.939999999991</v>
          </cell>
          <cell r="BF148">
            <v>1791.9899999999998</v>
          </cell>
          <cell r="BH148">
            <v>2352.2800000000002</v>
          </cell>
          <cell r="BI148">
            <v>39.720000000000006</v>
          </cell>
          <cell r="BJ148">
            <v>1976.11</v>
          </cell>
          <cell r="BK148">
            <v>808553.35999999987</v>
          </cell>
        </row>
        <row r="149">
          <cell r="AZ149">
            <v>39387.929999999993</v>
          </cell>
          <cell r="BA149">
            <v>235373.07000000004</v>
          </cell>
          <cell r="BB149">
            <v>70183.150000000009</v>
          </cell>
          <cell r="BC149">
            <v>70958.23000000001</v>
          </cell>
          <cell r="BD149">
            <v>33523.600000000006</v>
          </cell>
          <cell r="BE149">
            <v>84852.560000000012</v>
          </cell>
          <cell r="BF149">
            <v>98108.030000000013</v>
          </cell>
          <cell r="BG149">
            <v>40943.810000000005</v>
          </cell>
          <cell r="BH149">
            <v>32282.14</v>
          </cell>
          <cell r="BI149">
            <v>33057.47</v>
          </cell>
          <cell r="BJ149">
            <v>17746.590000000004</v>
          </cell>
          <cell r="BK149">
            <v>756416.58000000007</v>
          </cell>
        </row>
        <row r="150">
          <cell r="AZ150">
            <v>12296.189999999999</v>
          </cell>
          <cell r="BA150">
            <v>420.35999999999996</v>
          </cell>
          <cell r="BB150">
            <v>75.03</v>
          </cell>
          <cell r="BC150">
            <v>74.19</v>
          </cell>
          <cell r="BD150">
            <v>75.47</v>
          </cell>
          <cell r="BE150">
            <v>79.3</v>
          </cell>
          <cell r="BF150">
            <v>75.47</v>
          </cell>
          <cell r="BG150">
            <v>75.47</v>
          </cell>
          <cell r="BH150">
            <v>4299.5999999999995</v>
          </cell>
          <cell r="BI150">
            <v>37180.93</v>
          </cell>
          <cell r="BJ150">
            <v>72233.99000000002</v>
          </cell>
          <cell r="BK150">
            <v>126886.00000000001</v>
          </cell>
        </row>
        <row r="151">
          <cell r="AZ151">
            <v>43882.770000000004</v>
          </cell>
          <cell r="BA151">
            <v>52494.27</v>
          </cell>
          <cell r="BB151">
            <v>7630.2</v>
          </cell>
          <cell r="BC151">
            <v>56665.07</v>
          </cell>
          <cell r="BD151">
            <v>129408.10999999999</v>
          </cell>
          <cell r="BE151">
            <v>33587.219999999987</v>
          </cell>
          <cell r="BF151">
            <v>191461.11000000002</v>
          </cell>
          <cell r="BG151">
            <v>154016.82999999999</v>
          </cell>
          <cell r="BH151">
            <v>68120.78</v>
          </cell>
          <cell r="BI151">
            <v>110970.62000000001</v>
          </cell>
          <cell r="BJ151">
            <v>58842.239999999998</v>
          </cell>
          <cell r="BK151">
            <v>907079.22</v>
          </cell>
        </row>
        <row r="152">
          <cell r="AZ152">
            <v>66990.240000000005</v>
          </cell>
          <cell r="BA152">
            <v>238818.62999999998</v>
          </cell>
          <cell r="BB152">
            <v>40453.899999999994</v>
          </cell>
          <cell r="BC152">
            <v>136323.75</v>
          </cell>
          <cell r="BD152">
            <v>93966.98</v>
          </cell>
          <cell r="BE152">
            <v>8617.9400000000023</v>
          </cell>
          <cell r="BF152">
            <v>36433.69</v>
          </cell>
          <cell r="BG152">
            <v>7003.13</v>
          </cell>
          <cell r="BH152">
            <v>426.45000000000027</v>
          </cell>
          <cell r="BK152">
            <v>629034.70999999985</v>
          </cell>
        </row>
        <row r="153">
          <cell r="AZ153">
            <v>43217.86</v>
          </cell>
          <cell r="BA153">
            <v>4518.1299999999974</v>
          </cell>
          <cell r="BB153">
            <v>281.64</v>
          </cell>
          <cell r="BC153">
            <v>2658.32</v>
          </cell>
          <cell r="BD153">
            <v>9561.1</v>
          </cell>
          <cell r="BE153">
            <v>14377.079999999998</v>
          </cell>
          <cell r="BF153">
            <v>52150.599999999991</v>
          </cell>
          <cell r="BG153">
            <v>148204.97</v>
          </cell>
          <cell r="BH153">
            <v>73331.090000000011</v>
          </cell>
          <cell r="BI153">
            <v>155196.10000000003</v>
          </cell>
          <cell r="BJ153">
            <v>4477.4299999999994</v>
          </cell>
          <cell r="BK153">
            <v>507974.32</v>
          </cell>
        </row>
        <row r="154">
          <cell r="AZ154">
            <v>6519.92</v>
          </cell>
          <cell r="BA154">
            <v>48430.91</v>
          </cell>
          <cell r="BB154">
            <v>39533.560000000005</v>
          </cell>
          <cell r="BC154">
            <v>74700.290000000008</v>
          </cell>
          <cell r="BD154">
            <v>86264.94</v>
          </cell>
          <cell r="BE154">
            <v>10950.309999999994</v>
          </cell>
          <cell r="BF154">
            <v>49964.51</v>
          </cell>
          <cell r="BG154">
            <v>26570.550000000003</v>
          </cell>
          <cell r="BH154">
            <v>20457.620000000003</v>
          </cell>
          <cell r="BI154">
            <v>616.68000000000006</v>
          </cell>
          <cell r="BJ154">
            <v>895.56000000000006</v>
          </cell>
          <cell r="BK154">
            <v>364904.85</v>
          </cell>
        </row>
        <row r="155">
          <cell r="BA155">
            <v>74237.63</v>
          </cell>
          <cell r="BB155">
            <v>77815.809999999983</v>
          </cell>
          <cell r="BC155">
            <v>64340.259999999995</v>
          </cell>
          <cell r="BD155">
            <v>102206.90999999999</v>
          </cell>
          <cell r="BE155">
            <v>79932.25</v>
          </cell>
          <cell r="BF155">
            <v>208089.69999999998</v>
          </cell>
          <cell r="BG155">
            <v>134992.73000000004</v>
          </cell>
          <cell r="BH155">
            <v>142936.66999999998</v>
          </cell>
          <cell r="BI155">
            <v>108703.10000000002</v>
          </cell>
          <cell r="BJ155">
            <v>168880.23</v>
          </cell>
          <cell r="BK155">
            <v>1162135.29</v>
          </cell>
        </row>
        <row r="156">
          <cell r="BA156">
            <v>44972.34</v>
          </cell>
          <cell r="BB156">
            <v>10190.510000000002</v>
          </cell>
          <cell r="BC156">
            <v>66856.479999999996</v>
          </cell>
          <cell r="BD156">
            <v>43208.840000000004</v>
          </cell>
          <cell r="BE156">
            <v>-42788.950000000004</v>
          </cell>
          <cell r="BF156">
            <v>909.91000000000008</v>
          </cell>
          <cell r="BG156">
            <v>24961.089999999993</v>
          </cell>
          <cell r="BH156">
            <v>35453.08</v>
          </cell>
          <cell r="BI156">
            <v>39762.480000000003</v>
          </cell>
          <cell r="BJ156">
            <v>264776.08</v>
          </cell>
          <cell r="BK156">
            <v>488301.86</v>
          </cell>
        </row>
        <row r="157">
          <cell r="BA157">
            <v>19939.77</v>
          </cell>
          <cell r="BB157">
            <v>352.97</v>
          </cell>
          <cell r="BC157">
            <v>16111.63</v>
          </cell>
          <cell r="BD157">
            <v>101987.76000000001</v>
          </cell>
          <cell r="BE157">
            <v>61054.420000000013</v>
          </cell>
          <cell r="BF157">
            <v>77532.52</v>
          </cell>
          <cell r="BG157">
            <v>73097.290000000008</v>
          </cell>
          <cell r="BK157">
            <v>350076.36</v>
          </cell>
        </row>
        <row r="158">
          <cell r="BA158">
            <v>8536.7200000000012</v>
          </cell>
          <cell r="BB158">
            <v>12324.970000000001</v>
          </cell>
          <cell r="BC158">
            <v>31392.029999999995</v>
          </cell>
          <cell r="BD158">
            <v>206475.49000000005</v>
          </cell>
          <cell r="BE158">
            <v>59310.239999999998</v>
          </cell>
          <cell r="BF158">
            <v>8048.2200000000012</v>
          </cell>
          <cell r="BG158">
            <v>105745.58000000002</v>
          </cell>
          <cell r="BH158">
            <v>15964.73</v>
          </cell>
          <cell r="BI158">
            <v>65393.279999999999</v>
          </cell>
          <cell r="BJ158">
            <v>12655.14</v>
          </cell>
          <cell r="BK158">
            <v>525846.4</v>
          </cell>
        </row>
        <row r="159">
          <cell r="BA159">
            <v>81984.000000000015</v>
          </cell>
          <cell r="BB159">
            <v>8231.6</v>
          </cell>
          <cell r="BC159">
            <v>32090.39</v>
          </cell>
          <cell r="BD159">
            <v>42805.68</v>
          </cell>
          <cell r="BE159">
            <v>0</v>
          </cell>
          <cell r="BK159">
            <v>165111.67000000001</v>
          </cell>
        </row>
        <row r="160">
          <cell r="BA160">
            <v>133749.49999999997</v>
          </cell>
          <cell r="BB160">
            <v>63269.049999999996</v>
          </cell>
          <cell r="BC160">
            <v>142399.50999999998</v>
          </cell>
          <cell r="BD160">
            <v>225365.59999999998</v>
          </cell>
          <cell r="BE160">
            <v>37191.040000000008</v>
          </cell>
          <cell r="BF160">
            <v>9459.17</v>
          </cell>
          <cell r="BG160">
            <v>13016.440000000002</v>
          </cell>
          <cell r="BK160">
            <v>624450.31000000006</v>
          </cell>
        </row>
        <row r="161">
          <cell r="BA161">
            <v>109997.75</v>
          </cell>
          <cell r="BB161">
            <v>21057.420000000002</v>
          </cell>
          <cell r="BC161">
            <v>-1683.1700000000003</v>
          </cell>
          <cell r="BE161">
            <v>3875.02</v>
          </cell>
          <cell r="BK161">
            <v>133247.01999999999</v>
          </cell>
        </row>
        <row r="162">
          <cell r="BB162">
            <v>33404.32</v>
          </cell>
          <cell r="BC162">
            <v>129718.5</v>
          </cell>
          <cell r="BD162">
            <v>23584.829999999998</v>
          </cell>
          <cell r="BE162">
            <v>28487.09</v>
          </cell>
          <cell r="BF162">
            <v>104182.36000000002</v>
          </cell>
          <cell r="BG162">
            <v>52542.270000000004</v>
          </cell>
          <cell r="BH162">
            <v>14.450000000000291</v>
          </cell>
          <cell r="BI162">
            <v>2981.8900000000003</v>
          </cell>
          <cell r="BJ162">
            <v>2410.79</v>
          </cell>
          <cell r="BK162">
            <v>377326.5</v>
          </cell>
        </row>
        <row r="163">
          <cell r="BB163">
            <v>4524.33</v>
          </cell>
          <cell r="BC163">
            <v>65668.960000000006</v>
          </cell>
          <cell r="BD163">
            <v>271472.79000000004</v>
          </cell>
          <cell r="BE163">
            <v>168068.56999999992</v>
          </cell>
          <cell r="BF163">
            <v>104797.65999999999</v>
          </cell>
          <cell r="BG163">
            <v>87713.150000000009</v>
          </cell>
          <cell r="BH163">
            <v>0</v>
          </cell>
          <cell r="BI163">
            <v>5069.7300000000005</v>
          </cell>
          <cell r="BJ163">
            <v>27779.13</v>
          </cell>
          <cell r="BK163">
            <v>735094.32000000007</v>
          </cell>
        </row>
        <row r="164">
          <cell r="BB164">
            <v>54640.700000000004</v>
          </cell>
          <cell r="BC164">
            <v>38509.880000000005</v>
          </cell>
          <cell r="BD164">
            <v>263555.26</v>
          </cell>
          <cell r="BE164">
            <v>116860.22000000002</v>
          </cell>
          <cell r="BF164">
            <v>48325.849999999991</v>
          </cell>
          <cell r="BG164">
            <v>128028.58</v>
          </cell>
          <cell r="BH164">
            <v>0</v>
          </cell>
          <cell r="BI164">
            <v>10358.780000000001</v>
          </cell>
          <cell r="BK164">
            <v>660279.27</v>
          </cell>
        </row>
        <row r="165">
          <cell r="BB165">
            <v>131614.61999999997</v>
          </cell>
          <cell r="BC165">
            <v>16103.19</v>
          </cell>
          <cell r="BK165">
            <v>147717.80999999997</v>
          </cell>
        </row>
        <row r="166">
          <cell r="BC166">
            <v>25327.040000000001</v>
          </cell>
          <cell r="BD166">
            <v>77961.12000000001</v>
          </cell>
          <cell r="BE166">
            <v>25865.889999999996</v>
          </cell>
          <cell r="BF166">
            <v>41352.320000000007</v>
          </cell>
          <cell r="BG166">
            <v>77495.649999999994</v>
          </cell>
          <cell r="BH166">
            <v>30190.01</v>
          </cell>
          <cell r="BI166">
            <v>371.8</v>
          </cell>
          <cell r="BJ166">
            <v>1477.69</v>
          </cell>
          <cell r="BK166">
            <v>280041.51999999996</v>
          </cell>
        </row>
        <row r="167">
          <cell r="BC167">
            <v>3461.8299999999995</v>
          </cell>
          <cell r="BD167">
            <v>20.37</v>
          </cell>
          <cell r="BE167">
            <v>21.4</v>
          </cell>
          <cell r="BF167">
            <v>4137.1100000000006</v>
          </cell>
          <cell r="BG167">
            <v>44.59</v>
          </cell>
          <cell r="BH167">
            <v>11656.990000000002</v>
          </cell>
          <cell r="BI167">
            <v>42405.240000000005</v>
          </cell>
          <cell r="BJ167">
            <v>330004.82</v>
          </cell>
          <cell r="BK167">
            <v>391752.35000000003</v>
          </cell>
        </row>
        <row r="168">
          <cell r="BC168">
            <v>29164.620000000003</v>
          </cell>
          <cell r="BD168">
            <v>128738.20999999999</v>
          </cell>
          <cell r="BE168">
            <v>12688.410000000002</v>
          </cell>
          <cell r="BF168">
            <v>1319.01</v>
          </cell>
          <cell r="BG168">
            <v>65342.720000000001</v>
          </cell>
          <cell r="BH168">
            <v>1760.5500000000002</v>
          </cell>
          <cell r="BI168">
            <v>15755.33</v>
          </cell>
          <cell r="BJ168">
            <v>29693.15</v>
          </cell>
          <cell r="BK168">
            <v>284462</v>
          </cell>
        </row>
        <row r="169">
          <cell r="BC169">
            <v>28721.489999999998</v>
          </cell>
          <cell r="BD169">
            <v>55112.920000000013</v>
          </cell>
          <cell r="BE169">
            <v>35589.770000000011</v>
          </cell>
          <cell r="BF169">
            <v>121185.67</v>
          </cell>
          <cell r="BG169">
            <v>92525.119999999995</v>
          </cell>
          <cell r="BH169">
            <v>-3924.6800000000003</v>
          </cell>
          <cell r="BI169">
            <v>22894.829999999998</v>
          </cell>
          <cell r="BK169">
            <v>352105.12000000005</v>
          </cell>
        </row>
        <row r="170">
          <cell r="BD170">
            <v>10210.43</v>
          </cell>
          <cell r="BE170">
            <v>63.110000000000582</v>
          </cell>
          <cell r="BF170">
            <v>21691.759999999998</v>
          </cell>
          <cell r="BG170">
            <v>83126.81</v>
          </cell>
          <cell r="BH170">
            <v>346.52999999999952</v>
          </cell>
          <cell r="BI170">
            <v>52553.859999999993</v>
          </cell>
          <cell r="BJ170">
            <v>91951.470000000016</v>
          </cell>
          <cell r="BK170">
            <v>259943.97000000003</v>
          </cell>
        </row>
        <row r="171">
          <cell r="BD171">
            <v>10477.26</v>
          </cell>
          <cell r="BE171">
            <v>3987.17</v>
          </cell>
          <cell r="BF171">
            <v>84.710000000000008</v>
          </cell>
          <cell r="BG171">
            <v>17060.22</v>
          </cell>
          <cell r="BH171">
            <v>50366.18</v>
          </cell>
          <cell r="BI171">
            <v>77683.16</v>
          </cell>
          <cell r="BJ171">
            <v>101219.86000000003</v>
          </cell>
          <cell r="BK171">
            <v>260878.56000000006</v>
          </cell>
        </row>
        <row r="172">
          <cell r="BD172">
            <v>15264.220000000001</v>
          </cell>
          <cell r="BE172">
            <v>21073.82</v>
          </cell>
          <cell r="BF172">
            <v>56256.02</v>
          </cell>
          <cell r="BG172">
            <v>103460.12999999999</v>
          </cell>
          <cell r="BH172">
            <v>11400.449999999997</v>
          </cell>
          <cell r="BI172">
            <v>25376.05</v>
          </cell>
          <cell r="BJ172">
            <v>5029.5</v>
          </cell>
          <cell r="BK172">
            <v>237860.19</v>
          </cell>
        </row>
        <row r="173">
          <cell r="BD173">
            <v>22941.319999999996</v>
          </cell>
          <cell r="BE173">
            <v>141.82</v>
          </cell>
          <cell r="BF173">
            <v>134.96</v>
          </cell>
          <cell r="BG173">
            <v>59081.109999999993</v>
          </cell>
          <cell r="BH173">
            <v>64833.350000000006</v>
          </cell>
          <cell r="BI173">
            <v>72457.300000000017</v>
          </cell>
          <cell r="BJ173">
            <v>104130.47</v>
          </cell>
          <cell r="BK173">
            <v>323720.33</v>
          </cell>
        </row>
        <row r="174">
          <cell r="BD174">
            <v>9754.1400000000012</v>
          </cell>
          <cell r="BE174">
            <v>18845.04</v>
          </cell>
          <cell r="BF174">
            <v>15622.069999999998</v>
          </cell>
          <cell r="BG174">
            <v>123964.72</v>
          </cell>
          <cell r="BH174">
            <v>30260.61</v>
          </cell>
          <cell r="BI174">
            <v>25592.3</v>
          </cell>
          <cell r="BJ174">
            <v>9229.3299999999981</v>
          </cell>
          <cell r="BK174">
            <v>233268.21</v>
          </cell>
        </row>
        <row r="175">
          <cell r="BE175">
            <v>59022.37999999999</v>
          </cell>
          <cell r="BF175">
            <v>64746.130000000005</v>
          </cell>
          <cell r="BG175">
            <v>144073.24000000002</v>
          </cell>
          <cell r="BH175">
            <v>166548.01999999999</v>
          </cell>
          <cell r="BI175">
            <v>186317.82</v>
          </cell>
          <cell r="BJ175">
            <v>152052.60999999999</v>
          </cell>
          <cell r="BK175">
            <v>772760.20000000007</v>
          </cell>
        </row>
        <row r="176">
          <cell r="BE176">
            <v>52322.240000000005</v>
          </cell>
          <cell r="BF176">
            <v>49989.070000000014</v>
          </cell>
          <cell r="BG176">
            <v>325402.23</v>
          </cell>
          <cell r="BH176">
            <v>31770.720000000016</v>
          </cell>
          <cell r="BI176">
            <v>14952.35</v>
          </cell>
          <cell r="BJ176">
            <v>51752.800000000003</v>
          </cell>
          <cell r="BK176">
            <v>526189.41</v>
          </cell>
        </row>
        <row r="177">
          <cell r="BE177">
            <v>3790.7400000000002</v>
          </cell>
          <cell r="BF177">
            <v>43291.360000000001</v>
          </cell>
          <cell r="BG177">
            <v>86270.690000000017</v>
          </cell>
          <cell r="BH177">
            <v>78123.440000000017</v>
          </cell>
          <cell r="BI177">
            <v>189414.78999999998</v>
          </cell>
          <cell r="BJ177">
            <v>242976.2</v>
          </cell>
          <cell r="BK177">
            <v>643867.22</v>
          </cell>
        </row>
        <row r="178">
          <cell r="BF178">
            <v>8229.19</v>
          </cell>
          <cell r="BG178">
            <v>5918.9299999999994</v>
          </cell>
          <cell r="BH178">
            <v>20755.349999999999</v>
          </cell>
          <cell r="BI178">
            <v>6543.7000000000007</v>
          </cell>
          <cell r="BJ178">
            <v>2275.4300000000003</v>
          </cell>
          <cell r="BK178">
            <v>43722.6</v>
          </cell>
        </row>
        <row r="179">
          <cell r="BG179">
            <v>225558.58</v>
          </cell>
          <cell r="BH179">
            <v>128867.78</v>
          </cell>
          <cell r="BI179">
            <v>61084.98000000001</v>
          </cell>
          <cell r="BJ179">
            <v>4879.4299999999994</v>
          </cell>
          <cell r="BK179">
            <v>420390.76999999996</v>
          </cell>
        </row>
        <row r="180">
          <cell r="BG180">
            <v>53763.64</v>
          </cell>
          <cell r="BH180">
            <v>138126.76</v>
          </cell>
          <cell r="BI180">
            <v>217004.86999999997</v>
          </cell>
          <cell r="BJ180">
            <v>48891.960000000006</v>
          </cell>
          <cell r="BK180">
            <v>457787.23000000004</v>
          </cell>
        </row>
        <row r="181">
          <cell r="BH181">
            <v>22501.850000000002</v>
          </cell>
          <cell r="BI181">
            <v>45670.2</v>
          </cell>
          <cell r="BJ181">
            <v>48454.43</v>
          </cell>
          <cell r="BK181">
            <v>116626.48000000001</v>
          </cell>
        </row>
        <row r="182">
          <cell r="G182">
            <v>117409.84</v>
          </cell>
          <cell r="H182">
            <v>284477.37</v>
          </cell>
          <cell r="I182">
            <v>1097213.75</v>
          </cell>
          <cell r="J182">
            <v>807564.62999999989</v>
          </cell>
          <cell r="K182">
            <v>1067237.1799999997</v>
          </cell>
          <cell r="L182">
            <v>2072110.1</v>
          </cell>
          <cell r="M182">
            <v>1727656.98</v>
          </cell>
          <cell r="N182">
            <v>3627989.3800000008</v>
          </cell>
          <cell r="O182">
            <v>1425658.8699999996</v>
          </cell>
          <cell r="P182">
            <v>1444157.6000000006</v>
          </cell>
          <cell r="Q182">
            <v>2403394.8599999994</v>
          </cell>
          <cell r="R182">
            <v>2011738.5800000005</v>
          </cell>
          <cell r="S182">
            <v>1943953.0599999998</v>
          </cell>
          <cell r="T182">
            <v>2250374.5900000003</v>
          </cell>
          <cell r="U182">
            <v>1550858.9100000008</v>
          </cell>
          <cell r="V182">
            <v>1175521.9200000002</v>
          </cell>
          <cell r="W182">
            <v>1012605.4999999998</v>
          </cell>
          <cell r="X182">
            <v>1275410.3500000001</v>
          </cell>
          <cell r="Y182">
            <v>769173.1100000001</v>
          </cell>
          <cell r="Z182">
            <v>1147778.6900000004</v>
          </cell>
          <cell r="AA182">
            <v>255488.11000000002</v>
          </cell>
          <cell r="AB182">
            <v>4112.3999999999996</v>
          </cell>
          <cell r="AC182">
            <v>495050.05</v>
          </cell>
          <cell r="AD182">
            <v>744819.51</v>
          </cell>
          <cell r="AE182">
            <v>849891.33999999985</v>
          </cell>
          <cell r="AF182">
            <v>803129.49000000011</v>
          </cell>
          <cell r="AG182">
            <v>702186.80999999994</v>
          </cell>
          <cell r="AH182">
            <v>690462.34000000008</v>
          </cell>
          <cell r="AI182">
            <v>770788.82000000007</v>
          </cell>
          <cell r="AJ182">
            <v>631320.68000000005</v>
          </cell>
          <cell r="AK182">
            <v>516591.51000000007</v>
          </cell>
          <cell r="AL182">
            <v>622100.71</v>
          </cell>
          <cell r="AM182">
            <v>87899.76</v>
          </cell>
          <cell r="AN182">
            <v>159474.92000000001</v>
          </cell>
          <cell r="AO182">
            <v>597652.93000000005</v>
          </cell>
          <cell r="AP182">
            <v>813839.21000000031</v>
          </cell>
          <cell r="AQ182">
            <v>1424077.3299999996</v>
          </cell>
          <cell r="AR182">
            <v>1641720.04</v>
          </cell>
          <cell r="AS182">
            <v>1426867.12</v>
          </cell>
          <cell r="AT182">
            <v>1989168.97</v>
          </cell>
          <cell r="AU182">
            <v>2964493.9199999995</v>
          </cell>
          <cell r="AV182">
            <v>1286914.1099999999</v>
          </cell>
          <cell r="AW182">
            <v>1403700.8499999999</v>
          </cell>
          <cell r="AX182">
            <v>1765645.7999999996</v>
          </cell>
          <cell r="AY182">
            <v>226730.11</v>
          </cell>
          <cell r="AZ182">
            <v>723969.55</v>
          </cell>
          <cell r="BA182">
            <v>2846398.8100000005</v>
          </cell>
          <cell r="BB182">
            <v>755057.75999999989</v>
          </cell>
          <cell r="BC182">
            <v>1883102.0999999999</v>
          </cell>
          <cell r="BD182">
            <v>2770491.84</v>
          </cell>
          <cell r="BE182">
            <v>1049619.56</v>
          </cell>
          <cell r="BF182">
            <v>1565567.5300000003</v>
          </cell>
          <cell r="BG182">
            <v>2879170.2100000004</v>
          </cell>
          <cell r="BH182">
            <v>1247606.79</v>
          </cell>
          <cell r="BI182">
            <v>1741149.79</v>
          </cell>
          <cell r="BJ182">
            <v>1925713.1499999997</v>
          </cell>
          <cell r="BK182">
            <v>71474259.200000018</v>
          </cell>
        </row>
      </sheetData>
      <sheetData sheetId="6"/>
      <sheetData sheetId="7">
        <row r="1">
          <cell r="A1" t="str">
            <v>BUS_MO_L</v>
          </cell>
          <cell r="B1" t="str">
            <v>EFF_DTE_L</v>
          </cell>
          <cell r="C1" t="str">
            <v>INTRNL_CO_ID_C</v>
          </cell>
          <cell r="D1" t="str">
            <v>BUS_ID_C</v>
          </cell>
          <cell r="E1" t="str">
            <v>AFUDC_ANL_DBT_RT_F</v>
          </cell>
          <cell r="F1" t="str">
            <v>AFUDC_ANL_EQT_RT_F</v>
          </cell>
        </row>
        <row r="2">
          <cell r="A2">
            <v>41244</v>
          </cell>
          <cell r="B2">
            <v>41244</v>
          </cell>
          <cell r="C2" t="str">
            <v>01</v>
          </cell>
          <cell r="D2" t="str">
            <v>G</v>
          </cell>
          <cell r="E2">
            <v>2.2000000000000001E-3</v>
          </cell>
          <cell r="F2">
            <v>4.4000000000000003E-3</v>
          </cell>
        </row>
        <row r="3">
          <cell r="A3">
            <v>41214</v>
          </cell>
          <cell r="B3">
            <v>41214</v>
          </cell>
          <cell r="C3" t="str">
            <v>01</v>
          </cell>
          <cell r="D3" t="str">
            <v>G</v>
          </cell>
          <cell r="E3">
            <v>2.0999999999999999E-3</v>
          </cell>
          <cell r="F3">
            <v>4.4000000000000003E-3</v>
          </cell>
        </row>
        <row r="4">
          <cell r="A4">
            <v>41183</v>
          </cell>
          <cell r="B4">
            <v>41183</v>
          </cell>
          <cell r="C4" t="str">
            <v>02</v>
          </cell>
          <cell r="D4" t="str">
            <v>G</v>
          </cell>
          <cell r="E4">
            <v>2.0999999999999999E-3</v>
          </cell>
          <cell r="F4">
            <v>4.4000000000000003E-3</v>
          </cell>
        </row>
        <row r="5">
          <cell r="A5">
            <v>41153</v>
          </cell>
          <cell r="B5">
            <v>41153</v>
          </cell>
          <cell r="C5" t="str">
            <v>02</v>
          </cell>
          <cell r="D5" t="str">
            <v>G</v>
          </cell>
          <cell r="E5">
            <v>1.9E-3</v>
          </cell>
          <cell r="F5">
            <v>4.0000000000000001E-3</v>
          </cell>
        </row>
        <row r="6">
          <cell r="A6">
            <v>41122</v>
          </cell>
          <cell r="B6">
            <v>41122</v>
          </cell>
          <cell r="C6" t="str">
            <v>02</v>
          </cell>
          <cell r="D6" t="str">
            <v>G</v>
          </cell>
          <cell r="E6">
            <v>1.9E-3</v>
          </cell>
          <cell r="F6">
            <v>4.0000000000000001E-3</v>
          </cell>
        </row>
        <row r="7">
          <cell r="A7">
            <v>41091</v>
          </cell>
          <cell r="B7">
            <v>41091</v>
          </cell>
          <cell r="C7" t="str">
            <v>02</v>
          </cell>
          <cell r="D7" t="str">
            <v>G</v>
          </cell>
          <cell r="E7">
            <v>2E-3</v>
          </cell>
          <cell r="F7">
            <v>4.1999999999999997E-3</v>
          </cell>
        </row>
        <row r="8">
          <cell r="A8">
            <v>41061</v>
          </cell>
          <cell r="B8">
            <v>41061</v>
          </cell>
          <cell r="C8" t="str">
            <v>02</v>
          </cell>
          <cell r="D8" t="str">
            <v>G</v>
          </cell>
          <cell r="E8">
            <v>1.9E-3</v>
          </cell>
          <cell r="F8">
            <v>4.0000000000000001E-3</v>
          </cell>
        </row>
        <row r="9">
          <cell r="A9">
            <v>41030</v>
          </cell>
          <cell r="B9">
            <v>41030</v>
          </cell>
          <cell r="C9" t="str">
            <v>02</v>
          </cell>
          <cell r="D9" t="str">
            <v>G</v>
          </cell>
          <cell r="E9">
            <v>1.9E-3</v>
          </cell>
          <cell r="F9">
            <v>3.8999999999999998E-3</v>
          </cell>
        </row>
        <row r="10">
          <cell r="A10">
            <v>41000</v>
          </cell>
          <cell r="B10">
            <v>41000</v>
          </cell>
          <cell r="C10" t="str">
            <v>02</v>
          </cell>
          <cell r="D10" t="str">
            <v>G</v>
          </cell>
          <cell r="E10">
            <v>1.9E-3</v>
          </cell>
          <cell r="F10">
            <v>4.0000000000000001E-3</v>
          </cell>
        </row>
        <row r="11">
          <cell r="A11">
            <v>40969</v>
          </cell>
          <cell r="B11">
            <v>40969</v>
          </cell>
          <cell r="C11" t="str">
            <v>02</v>
          </cell>
          <cell r="D11" t="str">
            <v>G</v>
          </cell>
          <cell r="E11">
            <v>1.9E-3</v>
          </cell>
          <cell r="F11">
            <v>4.0000000000000001E-3</v>
          </cell>
        </row>
        <row r="12">
          <cell r="A12">
            <v>40940</v>
          </cell>
          <cell r="B12">
            <v>40940</v>
          </cell>
          <cell r="C12" t="str">
            <v>02</v>
          </cell>
          <cell r="D12" t="str">
            <v>G</v>
          </cell>
          <cell r="E12">
            <v>1.6999999999999999E-3</v>
          </cell>
          <cell r="F12">
            <v>3.3999999999999998E-3</v>
          </cell>
        </row>
        <row r="13">
          <cell r="A13">
            <v>40909</v>
          </cell>
          <cell r="B13">
            <v>40909</v>
          </cell>
          <cell r="C13" t="str">
            <v>02</v>
          </cell>
          <cell r="D13" t="str">
            <v>G</v>
          </cell>
          <cell r="E13">
            <v>2.2000000000000001E-3</v>
          </cell>
          <cell r="F13">
            <v>4.4999999999999997E-3</v>
          </cell>
        </row>
        <row r="14">
          <cell r="A14">
            <v>40878</v>
          </cell>
          <cell r="B14">
            <v>40878</v>
          </cell>
          <cell r="C14" t="str">
            <v>02</v>
          </cell>
          <cell r="D14" t="str">
            <v>G</v>
          </cell>
          <cell r="E14">
            <v>4.0000000000000002E-4</v>
          </cell>
          <cell r="F14">
            <v>1E-4</v>
          </cell>
        </row>
        <row r="15">
          <cell r="A15">
            <v>40848</v>
          </cell>
          <cell r="B15">
            <v>40848</v>
          </cell>
          <cell r="C15" t="str">
            <v>02</v>
          </cell>
          <cell r="D15" t="str">
            <v>G</v>
          </cell>
          <cell r="E15">
            <v>4.0000000000000002E-4</v>
          </cell>
          <cell r="F15">
            <v>1E-4</v>
          </cell>
        </row>
        <row r="16">
          <cell r="A16">
            <v>40817</v>
          </cell>
          <cell r="B16">
            <v>40817</v>
          </cell>
          <cell r="C16" t="str">
            <v>02</v>
          </cell>
          <cell r="D16" t="str">
            <v>G</v>
          </cell>
          <cell r="E16">
            <v>4.0000000000000002E-4</v>
          </cell>
          <cell r="F16">
            <v>1E-4</v>
          </cell>
        </row>
        <row r="17">
          <cell r="A17">
            <v>40787</v>
          </cell>
          <cell r="B17">
            <v>40787</v>
          </cell>
          <cell r="C17" t="str">
            <v>02</v>
          </cell>
          <cell r="D17" t="str">
            <v>G</v>
          </cell>
          <cell r="E17">
            <v>4.0000000000000002E-4</v>
          </cell>
          <cell r="F17">
            <v>1E-4</v>
          </cell>
        </row>
        <row r="18">
          <cell r="A18">
            <v>40756</v>
          </cell>
          <cell r="B18">
            <v>40756</v>
          </cell>
          <cell r="C18" t="str">
            <v>02</v>
          </cell>
          <cell r="D18" t="str">
            <v>G</v>
          </cell>
          <cell r="E18">
            <v>4.0000000000000002E-4</v>
          </cell>
          <cell r="F18">
            <v>1E-4</v>
          </cell>
        </row>
        <row r="19">
          <cell r="A19">
            <v>40725</v>
          </cell>
          <cell r="B19">
            <v>40725</v>
          </cell>
          <cell r="C19" t="str">
            <v>02</v>
          </cell>
          <cell r="D19" t="str">
            <v>G</v>
          </cell>
          <cell r="E19">
            <v>4.0000000000000002E-4</v>
          </cell>
          <cell r="F19">
            <v>1E-4</v>
          </cell>
        </row>
        <row r="20">
          <cell r="A20">
            <v>40695</v>
          </cell>
          <cell r="B20">
            <v>40695</v>
          </cell>
          <cell r="C20" t="str">
            <v>02</v>
          </cell>
          <cell r="D20" t="str">
            <v>G</v>
          </cell>
          <cell r="E20">
            <v>4.0000000000000002E-4</v>
          </cell>
          <cell r="F20">
            <v>1E-4</v>
          </cell>
        </row>
        <row r="21">
          <cell r="A21">
            <v>40664</v>
          </cell>
          <cell r="B21">
            <v>40664</v>
          </cell>
          <cell r="C21" t="str">
            <v>02</v>
          </cell>
          <cell r="D21" t="str">
            <v>G</v>
          </cell>
          <cell r="E21">
            <v>4.0000000000000002E-4</v>
          </cell>
          <cell r="F21">
            <v>1E-4</v>
          </cell>
        </row>
        <row r="22">
          <cell r="A22">
            <v>40634</v>
          </cell>
          <cell r="B22">
            <v>40634</v>
          </cell>
          <cell r="C22" t="str">
            <v>02</v>
          </cell>
          <cell r="D22" t="str">
            <v>G</v>
          </cell>
          <cell r="E22">
            <v>4.0000000000000002E-4</v>
          </cell>
          <cell r="F22">
            <v>1E-4</v>
          </cell>
        </row>
        <row r="23">
          <cell r="A23">
            <v>40603</v>
          </cell>
          <cell r="B23">
            <v>40603</v>
          </cell>
          <cell r="C23" t="str">
            <v>02</v>
          </cell>
          <cell r="D23" t="str">
            <v>G</v>
          </cell>
          <cell r="E23">
            <v>4.0000000000000002E-4</v>
          </cell>
          <cell r="F23">
            <v>1E-4</v>
          </cell>
        </row>
        <row r="24">
          <cell r="A24">
            <v>40575</v>
          </cell>
          <cell r="B24">
            <v>40575</v>
          </cell>
          <cell r="C24" t="str">
            <v>02</v>
          </cell>
          <cell r="D24" t="str">
            <v>G</v>
          </cell>
          <cell r="E24">
            <v>4.0000000000000002E-4</v>
          </cell>
          <cell r="F24">
            <v>1E-4</v>
          </cell>
        </row>
        <row r="25">
          <cell r="A25">
            <v>40544</v>
          </cell>
          <cell r="B25">
            <v>40544</v>
          </cell>
          <cell r="C25" t="str">
            <v>02</v>
          </cell>
          <cell r="D25" t="str">
            <v>G</v>
          </cell>
          <cell r="E25">
            <v>4.0000000000000002E-4</v>
          </cell>
          <cell r="F25">
            <v>1E-4</v>
          </cell>
        </row>
        <row r="26">
          <cell r="A26">
            <v>40513</v>
          </cell>
          <cell r="B26">
            <v>40513</v>
          </cell>
          <cell r="C26" t="str">
            <v>02</v>
          </cell>
          <cell r="D26" t="str">
            <v>G</v>
          </cell>
          <cell r="E26">
            <v>2.9999999999999997E-4</v>
          </cell>
          <cell r="F26">
            <v>0</v>
          </cell>
        </row>
        <row r="27">
          <cell r="A27">
            <v>40483</v>
          </cell>
          <cell r="B27">
            <v>40483</v>
          </cell>
          <cell r="C27" t="str">
            <v>02</v>
          </cell>
          <cell r="D27" t="str">
            <v>G</v>
          </cell>
          <cell r="E27">
            <v>2.9999999999999997E-4</v>
          </cell>
          <cell r="F27">
            <v>0</v>
          </cell>
        </row>
        <row r="28">
          <cell r="A28">
            <v>40452</v>
          </cell>
          <cell r="B28">
            <v>40452</v>
          </cell>
          <cell r="C28" t="str">
            <v>02</v>
          </cell>
          <cell r="D28" t="str">
            <v>G</v>
          </cell>
          <cell r="E28">
            <v>2.9999999999999997E-4</v>
          </cell>
          <cell r="F28">
            <v>0</v>
          </cell>
        </row>
        <row r="29">
          <cell r="A29">
            <v>40422</v>
          </cell>
          <cell r="B29">
            <v>40422</v>
          </cell>
          <cell r="C29" t="str">
            <v>02</v>
          </cell>
          <cell r="D29" t="str">
            <v>G</v>
          </cell>
          <cell r="E29">
            <v>2.9999999999999997E-4</v>
          </cell>
          <cell r="F29">
            <v>0</v>
          </cell>
        </row>
        <row r="30">
          <cell r="A30">
            <v>40391</v>
          </cell>
          <cell r="B30">
            <v>40391</v>
          </cell>
          <cell r="C30" t="str">
            <v>02</v>
          </cell>
          <cell r="D30" t="str">
            <v>G</v>
          </cell>
          <cell r="E30">
            <v>2.9999999999999997E-4</v>
          </cell>
          <cell r="F30">
            <v>0</v>
          </cell>
        </row>
        <row r="31">
          <cell r="A31">
            <v>40360</v>
          </cell>
          <cell r="B31">
            <v>40360</v>
          </cell>
          <cell r="C31" t="str">
            <v>02</v>
          </cell>
          <cell r="D31" t="str">
            <v>G</v>
          </cell>
          <cell r="E31">
            <v>2.9999999999999997E-4</v>
          </cell>
          <cell r="F31">
            <v>0</v>
          </cell>
        </row>
        <row r="32">
          <cell r="A32">
            <v>40330</v>
          </cell>
          <cell r="B32">
            <v>40330</v>
          </cell>
          <cell r="C32" t="str">
            <v>02</v>
          </cell>
          <cell r="D32" t="str">
            <v>G</v>
          </cell>
          <cell r="E32">
            <v>2.9999999999999997E-4</v>
          </cell>
          <cell r="F32">
            <v>0</v>
          </cell>
        </row>
        <row r="33">
          <cell r="A33">
            <v>40299</v>
          </cell>
          <cell r="B33">
            <v>40299</v>
          </cell>
          <cell r="C33" t="str">
            <v>02</v>
          </cell>
          <cell r="D33" t="str">
            <v>G</v>
          </cell>
          <cell r="E33">
            <v>2.9999999999999997E-4</v>
          </cell>
          <cell r="F33">
            <v>0</v>
          </cell>
        </row>
        <row r="34">
          <cell r="A34">
            <v>40269</v>
          </cell>
          <cell r="B34">
            <v>40269</v>
          </cell>
          <cell r="C34" t="str">
            <v>02</v>
          </cell>
          <cell r="D34" t="str">
            <v>G</v>
          </cell>
          <cell r="E34">
            <v>2.9999999999999997E-4</v>
          </cell>
          <cell r="F34">
            <v>0</v>
          </cell>
        </row>
        <row r="35">
          <cell r="A35">
            <v>40238</v>
          </cell>
          <cell r="B35">
            <v>40238</v>
          </cell>
          <cell r="C35" t="str">
            <v>02</v>
          </cell>
          <cell r="D35" t="str">
            <v>G</v>
          </cell>
          <cell r="E35">
            <v>2.9999999999999997E-4</v>
          </cell>
          <cell r="F35">
            <v>0</v>
          </cell>
        </row>
        <row r="36">
          <cell r="A36">
            <v>40210</v>
          </cell>
          <cell r="B36">
            <v>40210</v>
          </cell>
          <cell r="C36" t="str">
            <v>02</v>
          </cell>
          <cell r="D36" t="str">
            <v>G</v>
          </cell>
          <cell r="E36">
            <v>2.9999999999999997E-4</v>
          </cell>
          <cell r="F36">
            <v>0</v>
          </cell>
        </row>
        <row r="37">
          <cell r="A37">
            <v>40179</v>
          </cell>
          <cell r="B37">
            <v>40179</v>
          </cell>
          <cell r="C37" t="str">
            <v>02</v>
          </cell>
          <cell r="D37" t="str">
            <v>G</v>
          </cell>
          <cell r="E37">
            <v>2.9999999999999997E-4</v>
          </cell>
          <cell r="F37">
            <v>0</v>
          </cell>
        </row>
        <row r="38">
          <cell r="A38">
            <v>40148</v>
          </cell>
          <cell r="B38">
            <v>40148</v>
          </cell>
          <cell r="C38" t="str">
            <v>02</v>
          </cell>
          <cell r="D38" t="str">
            <v>G</v>
          </cell>
          <cell r="E38">
            <v>1.5E-3</v>
          </cell>
          <cell r="F38">
            <v>1.8E-3</v>
          </cell>
        </row>
        <row r="39">
          <cell r="A39">
            <v>40118</v>
          </cell>
          <cell r="B39">
            <v>40118</v>
          </cell>
          <cell r="C39" t="str">
            <v>02</v>
          </cell>
          <cell r="D39" t="str">
            <v>G</v>
          </cell>
          <cell r="E39">
            <v>1.5E-3</v>
          </cell>
          <cell r="F39">
            <v>1.8E-3</v>
          </cell>
        </row>
        <row r="40">
          <cell r="A40">
            <v>40087</v>
          </cell>
          <cell r="B40">
            <v>40087</v>
          </cell>
          <cell r="C40" t="str">
            <v>02</v>
          </cell>
          <cell r="D40" t="str">
            <v>G</v>
          </cell>
          <cell r="E40">
            <v>1.5E-3</v>
          </cell>
          <cell r="F40">
            <v>1.8E-3</v>
          </cell>
        </row>
        <row r="41">
          <cell r="A41">
            <v>40057</v>
          </cell>
          <cell r="B41">
            <v>40057</v>
          </cell>
          <cell r="C41" t="str">
            <v>02</v>
          </cell>
          <cell r="D41" t="str">
            <v>G</v>
          </cell>
          <cell r="E41">
            <v>1.5E-3</v>
          </cell>
          <cell r="F41">
            <v>1.8E-3</v>
          </cell>
        </row>
        <row r="42">
          <cell r="A42">
            <v>40026</v>
          </cell>
          <cell r="B42">
            <v>40026</v>
          </cell>
          <cell r="C42" t="str">
            <v>02</v>
          </cell>
          <cell r="D42" t="str">
            <v>G</v>
          </cell>
          <cell r="E42">
            <v>1.5E-3</v>
          </cell>
          <cell r="F42">
            <v>1.8E-3</v>
          </cell>
        </row>
        <row r="43">
          <cell r="A43">
            <v>39995</v>
          </cell>
          <cell r="B43">
            <v>39995</v>
          </cell>
          <cell r="C43" t="str">
            <v>02</v>
          </cell>
          <cell r="D43" t="str">
            <v>G</v>
          </cell>
          <cell r="E43">
            <v>1.5E-3</v>
          </cell>
          <cell r="F43">
            <v>1.8E-3</v>
          </cell>
        </row>
        <row r="44">
          <cell r="A44">
            <v>39965</v>
          </cell>
          <cell r="B44">
            <v>39965</v>
          </cell>
          <cell r="C44" t="str">
            <v>02</v>
          </cell>
          <cell r="D44" t="str">
            <v>G</v>
          </cell>
          <cell r="E44">
            <v>1.5E-3</v>
          </cell>
          <cell r="F44">
            <v>1.8E-3</v>
          </cell>
        </row>
        <row r="45">
          <cell r="A45">
            <v>39934</v>
          </cell>
          <cell r="B45">
            <v>39934</v>
          </cell>
          <cell r="C45" t="str">
            <v>02</v>
          </cell>
          <cell r="D45" t="str">
            <v>G</v>
          </cell>
          <cell r="E45">
            <v>1.5E-3</v>
          </cell>
          <cell r="F45">
            <v>1.8E-3</v>
          </cell>
        </row>
        <row r="46">
          <cell r="A46">
            <v>39904</v>
          </cell>
          <cell r="B46">
            <v>39904</v>
          </cell>
          <cell r="C46" t="str">
            <v>02</v>
          </cell>
          <cell r="D46" t="str">
            <v>G</v>
          </cell>
          <cell r="E46">
            <v>1.5E-3</v>
          </cell>
          <cell r="F46">
            <v>1.8E-3</v>
          </cell>
        </row>
        <row r="47">
          <cell r="A47">
            <v>39873</v>
          </cell>
          <cell r="B47">
            <v>39873</v>
          </cell>
          <cell r="C47" t="str">
            <v>02</v>
          </cell>
          <cell r="D47" t="str">
            <v>G</v>
          </cell>
          <cell r="E47">
            <v>1.5E-3</v>
          </cell>
          <cell r="F47">
            <v>1.8E-3</v>
          </cell>
        </row>
        <row r="48">
          <cell r="A48">
            <v>39845</v>
          </cell>
          <cell r="B48">
            <v>39845</v>
          </cell>
          <cell r="C48" t="str">
            <v>02</v>
          </cell>
          <cell r="D48" t="str">
            <v>G</v>
          </cell>
          <cell r="E48">
            <v>1.5E-3</v>
          </cell>
          <cell r="F48">
            <v>1.8E-3</v>
          </cell>
        </row>
        <row r="49">
          <cell r="A49">
            <v>39814</v>
          </cell>
          <cell r="B49">
            <v>39814</v>
          </cell>
          <cell r="C49" t="str">
            <v>02</v>
          </cell>
          <cell r="D49" t="str">
            <v>G</v>
          </cell>
          <cell r="E49">
            <v>1.5E-3</v>
          </cell>
          <cell r="F49">
            <v>1.8E-3</v>
          </cell>
        </row>
      </sheetData>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GE"/>
      <sheetName val="SUMMARY CALC"/>
      <sheetName val="PIS AFUDC PIVOT"/>
      <sheetName val="Bucket"/>
      <sheetName val="PIS AFUDC"/>
      <sheetName val="CHARGE PIVOT"/>
      <sheetName val="Charges"/>
      <sheetName val="AFUDC Rates"/>
      <sheetName val="WO Select Query"/>
      <sheetName val="WO Select Pivot"/>
      <sheetName val="Press Release"/>
      <sheetName val="Procedures"/>
      <sheetName val="Summary for Projection"/>
    </sheetNames>
    <sheetDataSet>
      <sheetData sheetId="0"/>
      <sheetData sheetId="1"/>
      <sheetData sheetId="2">
        <row r="5">
          <cell r="B5" t="str">
            <v>(blank)</v>
          </cell>
          <cell r="C5">
            <v>0</v>
          </cell>
        </row>
        <row r="6">
          <cell r="B6" t="str">
            <v>08592052800</v>
          </cell>
          <cell r="C6">
            <v>18030.315686039343</v>
          </cell>
        </row>
        <row r="7">
          <cell r="B7" t="str">
            <v>08582152700</v>
          </cell>
          <cell r="C7">
            <v>50653.222664255278</v>
          </cell>
        </row>
        <row r="8">
          <cell r="B8" t="str">
            <v>08582152010</v>
          </cell>
          <cell r="C8">
            <v>4058.4230071865391</v>
          </cell>
        </row>
        <row r="9">
          <cell r="B9" t="str">
            <v>08582152703</v>
          </cell>
          <cell r="C9">
            <v>25872.666138665118</v>
          </cell>
        </row>
        <row r="10">
          <cell r="B10" t="str">
            <v>08582152701</v>
          </cell>
          <cell r="C10">
            <v>63883.412703545029</v>
          </cell>
        </row>
        <row r="11">
          <cell r="B11" t="str">
            <v>08573352703</v>
          </cell>
          <cell r="C11">
            <v>114470.3902617719</v>
          </cell>
        </row>
        <row r="12">
          <cell r="B12" t="str">
            <v>08582152702</v>
          </cell>
          <cell r="C12">
            <v>76278.752208433609</v>
          </cell>
        </row>
        <row r="13">
          <cell r="B13" t="str">
            <v>08573352702</v>
          </cell>
          <cell r="C13">
            <v>116501.61265871074</v>
          </cell>
        </row>
        <row r="14">
          <cell r="B14" t="str">
            <v>08595752010</v>
          </cell>
          <cell r="C14">
            <v>0</v>
          </cell>
        </row>
        <row r="15">
          <cell r="B15" t="str">
            <v>08582152707</v>
          </cell>
          <cell r="C15">
            <v>3099.1848813329739</v>
          </cell>
        </row>
        <row r="16">
          <cell r="B16" t="str">
            <v>08573352701</v>
          </cell>
          <cell r="C16">
            <v>56370.995721500032</v>
          </cell>
        </row>
        <row r="17">
          <cell r="B17" t="str">
            <v>08582152704</v>
          </cell>
          <cell r="C17">
            <v>63480.771636455029</v>
          </cell>
        </row>
        <row r="18">
          <cell r="B18" t="str">
            <v>08582152705</v>
          </cell>
          <cell r="C18">
            <v>79829.350535251564</v>
          </cell>
        </row>
        <row r="19">
          <cell r="B19" t="str">
            <v>08582152708</v>
          </cell>
          <cell r="C19">
            <v>1930.4482634406813</v>
          </cell>
        </row>
        <row r="20">
          <cell r="B20" t="str">
            <v>08573352700</v>
          </cell>
          <cell r="C20">
            <v>87039.1315186375</v>
          </cell>
        </row>
        <row r="21">
          <cell r="B21" t="str">
            <v>08574152702</v>
          </cell>
          <cell r="C21">
            <v>39258.4963038895</v>
          </cell>
        </row>
        <row r="22">
          <cell r="B22" t="str">
            <v>08582152711</v>
          </cell>
          <cell r="C22">
            <v>8696.7384176644591</v>
          </cell>
        </row>
        <row r="23">
          <cell r="B23" t="str">
            <v>08582152706</v>
          </cell>
          <cell r="C23">
            <v>17464.231043568831</v>
          </cell>
        </row>
        <row r="24">
          <cell r="B24" t="str">
            <v>08582152709</v>
          </cell>
          <cell r="C24">
            <v>9944.5681850414985</v>
          </cell>
        </row>
        <row r="25">
          <cell r="B25" t="str">
            <v>08582152710</v>
          </cell>
          <cell r="C25">
            <v>12563.465388973096</v>
          </cell>
        </row>
        <row r="26">
          <cell r="B26" t="str">
            <v>08574152713</v>
          </cell>
          <cell r="C26">
            <v>0</v>
          </cell>
        </row>
        <row r="27">
          <cell r="B27" t="str">
            <v>08574152714</v>
          </cell>
          <cell r="C27">
            <v>7064.266976076804</v>
          </cell>
        </row>
        <row r="28">
          <cell r="B28" t="str">
            <v>08574152705</v>
          </cell>
          <cell r="C28">
            <v>14379.154051273021</v>
          </cell>
        </row>
        <row r="29">
          <cell r="B29" t="str">
            <v>08574152700</v>
          </cell>
          <cell r="C29">
            <v>33799.351655264247</v>
          </cell>
        </row>
        <row r="30">
          <cell r="B30" t="str">
            <v>08574152703</v>
          </cell>
          <cell r="C30">
            <v>75588.974444133695</v>
          </cell>
        </row>
        <row r="31">
          <cell r="B31" t="str">
            <v>08574152715</v>
          </cell>
          <cell r="C31">
            <v>18949.165879670883</v>
          </cell>
        </row>
        <row r="32">
          <cell r="B32" t="str">
            <v>08574152701</v>
          </cell>
          <cell r="C32">
            <v>55035.342089671125</v>
          </cell>
        </row>
        <row r="33">
          <cell r="B33" t="str">
            <v>08574152708</v>
          </cell>
          <cell r="C33">
            <v>2601.597979757586</v>
          </cell>
        </row>
        <row r="34">
          <cell r="B34" t="str">
            <v>08574152704</v>
          </cell>
          <cell r="C34">
            <v>73917.929646348071</v>
          </cell>
        </row>
        <row r="35">
          <cell r="B35" t="str">
            <v>08573352704</v>
          </cell>
          <cell r="C35">
            <v>15454.692841762535</v>
          </cell>
        </row>
        <row r="36">
          <cell r="B36" t="str">
            <v>08595052700</v>
          </cell>
          <cell r="C36">
            <v>119961.67387712451</v>
          </cell>
        </row>
        <row r="37">
          <cell r="B37" t="str">
            <v>08595052701</v>
          </cell>
          <cell r="C37">
            <v>92763.948344048069</v>
          </cell>
        </row>
        <row r="38">
          <cell r="B38" t="str">
            <v>08574152706</v>
          </cell>
          <cell r="C38">
            <v>63506.995918871333</v>
          </cell>
        </row>
        <row r="39">
          <cell r="B39" t="str">
            <v>08574152711</v>
          </cell>
          <cell r="C39">
            <v>45930.639457350662</v>
          </cell>
        </row>
        <row r="40">
          <cell r="B40" t="str">
            <v>08582152712</v>
          </cell>
          <cell r="C40">
            <v>81727.771925932946</v>
          </cell>
        </row>
        <row r="41">
          <cell r="B41" t="str">
            <v>08574152707</v>
          </cell>
          <cell r="C41">
            <v>122323.63505572698</v>
          </cell>
        </row>
        <row r="42">
          <cell r="B42" t="str">
            <v>08574152709</v>
          </cell>
          <cell r="C42">
            <v>57742.985981992308</v>
          </cell>
        </row>
        <row r="43">
          <cell r="B43" t="str">
            <v>08574152712</v>
          </cell>
          <cell r="C43">
            <v>75863.105463271844</v>
          </cell>
        </row>
        <row r="44">
          <cell r="B44" t="str">
            <v>08595452701</v>
          </cell>
          <cell r="C44">
            <v>9297.8216552107733</v>
          </cell>
        </row>
        <row r="45">
          <cell r="B45" t="str">
            <v>08574152710</v>
          </cell>
          <cell r="C45">
            <v>69982.611513737007</v>
          </cell>
        </row>
        <row r="46">
          <cell r="B46" t="str">
            <v>08582152713</v>
          </cell>
          <cell r="C46">
            <v>74273.102811233635</v>
          </cell>
        </row>
        <row r="47">
          <cell r="B47" t="str">
            <v>08583452700</v>
          </cell>
          <cell r="C47">
            <v>23401.255220738745</v>
          </cell>
        </row>
        <row r="48">
          <cell r="B48" t="str">
            <v>08595452700</v>
          </cell>
          <cell r="C48">
            <v>3150.1248506432366</v>
          </cell>
        </row>
        <row r="49">
          <cell r="B49" t="str">
            <v>08582152714</v>
          </cell>
          <cell r="C49">
            <v>92149.003250972572</v>
          </cell>
        </row>
        <row r="50">
          <cell r="B50" t="str">
            <v>08583352525</v>
          </cell>
          <cell r="C50">
            <v>10384.187976560592</v>
          </cell>
        </row>
        <row r="51">
          <cell r="B51" t="str">
            <v>09583452525</v>
          </cell>
          <cell r="C51">
            <v>68177.794740956801</v>
          </cell>
        </row>
        <row r="52">
          <cell r="B52" t="str">
            <v>09592752525</v>
          </cell>
          <cell r="C52">
            <v>8576.9527592174491</v>
          </cell>
        </row>
        <row r="53">
          <cell r="B53" t="str">
            <v>08574152540</v>
          </cell>
          <cell r="C53">
            <v>64233.920963281314</v>
          </cell>
        </row>
        <row r="54">
          <cell r="B54" t="str">
            <v>08583352526</v>
          </cell>
          <cell r="C54">
            <v>82243.21065922972</v>
          </cell>
        </row>
        <row r="55">
          <cell r="B55" t="str">
            <v>08595552523</v>
          </cell>
          <cell r="C55">
            <v>38719.482354335509</v>
          </cell>
        </row>
        <row r="56">
          <cell r="B56" t="str">
            <v>08573352530</v>
          </cell>
          <cell r="C56">
            <v>50392.35115978714</v>
          </cell>
        </row>
        <row r="57">
          <cell r="B57" t="str">
            <v>08573352529</v>
          </cell>
          <cell r="C57">
            <v>44648.242871839349</v>
          </cell>
        </row>
        <row r="58">
          <cell r="B58" t="str">
            <v>09592052523</v>
          </cell>
          <cell r="C58">
            <v>55619.117841668281</v>
          </cell>
        </row>
        <row r="59">
          <cell r="B59" t="str">
            <v>09595552527</v>
          </cell>
          <cell r="C59">
            <v>4306.4544300278176</v>
          </cell>
        </row>
        <row r="60">
          <cell r="B60" t="str">
            <v>09583252523</v>
          </cell>
          <cell r="C60">
            <v>39977.783398284861</v>
          </cell>
        </row>
        <row r="61">
          <cell r="B61" t="str">
            <v>09582152523</v>
          </cell>
          <cell r="C61">
            <v>25626.453706111526</v>
          </cell>
        </row>
        <row r="62">
          <cell r="B62" t="str">
            <v>08582152540</v>
          </cell>
          <cell r="C62">
            <v>98896.218662434534</v>
          </cell>
        </row>
        <row r="63">
          <cell r="B63" t="str">
            <v>09574152523</v>
          </cell>
          <cell r="C63">
            <v>19159.277266376906</v>
          </cell>
        </row>
        <row r="64">
          <cell r="B64" t="str">
            <v>09574152526</v>
          </cell>
          <cell r="C64">
            <v>25862.766887123285</v>
          </cell>
        </row>
        <row r="65">
          <cell r="B65" t="str">
            <v>09574152525</v>
          </cell>
          <cell r="C65">
            <v>39071.620016437162</v>
          </cell>
        </row>
        <row r="66">
          <cell r="B66" t="str">
            <v>09582152525</v>
          </cell>
          <cell r="C66">
            <v>51548.654255901907</v>
          </cell>
        </row>
        <row r="67">
          <cell r="B67" t="str">
            <v>09595052523</v>
          </cell>
          <cell r="C67">
            <v>26208.671729416783</v>
          </cell>
        </row>
        <row r="68">
          <cell r="B68" t="str">
            <v>09582152526</v>
          </cell>
          <cell r="C68">
            <v>0</v>
          </cell>
        </row>
        <row r="69">
          <cell r="B69" t="str">
            <v>09583352523</v>
          </cell>
          <cell r="C69">
            <v>61258.173073710634</v>
          </cell>
        </row>
        <row r="70">
          <cell r="B70" t="str">
            <v>08595052526</v>
          </cell>
          <cell r="C70">
            <v>52117.845897536499</v>
          </cell>
        </row>
        <row r="71">
          <cell r="B71" t="str">
            <v>09575252523</v>
          </cell>
          <cell r="C71">
            <v>66856.774390831823</v>
          </cell>
        </row>
        <row r="72">
          <cell r="B72" t="str">
            <v>09582152527</v>
          </cell>
          <cell r="C72">
            <v>37871.53420303786</v>
          </cell>
        </row>
        <row r="73">
          <cell r="B73" t="str">
            <v>09582152528</v>
          </cell>
          <cell r="C73">
            <v>65508.592852728361</v>
          </cell>
        </row>
        <row r="74">
          <cell r="B74" t="str">
            <v>09582152531</v>
          </cell>
          <cell r="C74">
            <v>17355.462589494397</v>
          </cell>
        </row>
        <row r="75">
          <cell r="B75" t="str">
            <v>09583452526</v>
          </cell>
          <cell r="C75">
            <v>74874.490999624657</v>
          </cell>
        </row>
        <row r="76">
          <cell r="B76" t="str">
            <v>09592552523</v>
          </cell>
          <cell r="C76">
            <v>0</v>
          </cell>
        </row>
        <row r="77">
          <cell r="B77" t="str">
            <v>09592652523</v>
          </cell>
          <cell r="C77">
            <v>4490.5975240651223</v>
          </cell>
        </row>
        <row r="78">
          <cell r="B78" t="str">
            <v>09592852523</v>
          </cell>
          <cell r="C78">
            <v>21233.212083407157</v>
          </cell>
        </row>
        <row r="79">
          <cell r="B79" t="str">
            <v>09595052526</v>
          </cell>
          <cell r="C79">
            <v>11031.706481531732</v>
          </cell>
        </row>
        <row r="80">
          <cell r="B80" t="str">
            <v>09595552526</v>
          </cell>
          <cell r="C80">
            <v>54469.761977828639</v>
          </cell>
        </row>
        <row r="81">
          <cell r="B81" t="str">
            <v>09574152528</v>
          </cell>
          <cell r="C81">
            <v>21445.761177016186</v>
          </cell>
        </row>
        <row r="82">
          <cell r="B82" t="str">
            <v>09595052529</v>
          </cell>
          <cell r="C82">
            <v>20270.497462742416</v>
          </cell>
        </row>
        <row r="83">
          <cell r="B83" t="str">
            <v>09595352523</v>
          </cell>
          <cell r="C83">
            <v>4337.6366946334256</v>
          </cell>
        </row>
        <row r="84">
          <cell r="B84" t="str">
            <v>09573352523</v>
          </cell>
          <cell r="C84">
            <v>74941.538038891449</v>
          </cell>
        </row>
        <row r="85">
          <cell r="B85" t="str">
            <v>09573352527</v>
          </cell>
          <cell r="C85">
            <v>51937.855451139665</v>
          </cell>
        </row>
        <row r="86">
          <cell r="B86" t="str">
            <v>09574152527</v>
          </cell>
          <cell r="C86">
            <v>10420.163649063908</v>
          </cell>
        </row>
        <row r="87">
          <cell r="B87" t="str">
            <v>09582152530</v>
          </cell>
          <cell r="C87">
            <v>26234.66688760406</v>
          </cell>
        </row>
        <row r="88">
          <cell r="B88" t="str">
            <v>09582152532</v>
          </cell>
          <cell r="C88">
            <v>0</v>
          </cell>
        </row>
        <row r="89">
          <cell r="B89" t="str">
            <v>09582152533</v>
          </cell>
          <cell r="C89">
            <v>0</v>
          </cell>
        </row>
        <row r="90">
          <cell r="B90" t="str">
            <v>09592052525</v>
          </cell>
          <cell r="C90">
            <v>73544.928191348357</v>
          </cell>
        </row>
        <row r="91">
          <cell r="B91" t="str">
            <v>09592052527</v>
          </cell>
          <cell r="C91">
            <v>20611.932984353465</v>
          </cell>
        </row>
        <row r="92">
          <cell r="B92" t="str">
            <v>09592052528</v>
          </cell>
          <cell r="C92">
            <v>9788.6707941447021</v>
          </cell>
        </row>
        <row r="93">
          <cell r="B93" t="str">
            <v>09592452525</v>
          </cell>
          <cell r="C93">
            <v>29928.993911697235</v>
          </cell>
        </row>
        <row r="94">
          <cell r="B94" t="str">
            <v>09592452526</v>
          </cell>
          <cell r="C94">
            <v>12305.576351304964</v>
          </cell>
        </row>
        <row r="95">
          <cell r="B95" t="str">
            <v>09592452527</v>
          </cell>
          <cell r="C95">
            <v>15319.446589248619</v>
          </cell>
        </row>
        <row r="96">
          <cell r="B96" t="str">
            <v>09592452528</v>
          </cell>
          <cell r="C96">
            <v>28352.175275561902</v>
          </cell>
        </row>
        <row r="97">
          <cell r="B97" t="str">
            <v>09595052530</v>
          </cell>
          <cell r="C97">
            <v>31174.212250609613</v>
          </cell>
        </row>
        <row r="98">
          <cell r="B98" t="str">
            <v>09595752523</v>
          </cell>
          <cell r="C98">
            <v>35780.466968414141</v>
          </cell>
        </row>
        <row r="99">
          <cell r="B99" t="str">
            <v>09595952523</v>
          </cell>
          <cell r="C99">
            <v>0</v>
          </cell>
        </row>
        <row r="100">
          <cell r="B100" t="str">
            <v>08582152011</v>
          </cell>
          <cell r="C100">
            <v>0</v>
          </cell>
        </row>
        <row r="101">
          <cell r="B101" t="str">
            <v>08582152715</v>
          </cell>
          <cell r="C101">
            <v>0</v>
          </cell>
        </row>
        <row r="102">
          <cell r="B102" t="str">
            <v>09573352526</v>
          </cell>
          <cell r="C102">
            <v>36162.638991297783</v>
          </cell>
        </row>
        <row r="103">
          <cell r="B103" t="str">
            <v>09574252523</v>
          </cell>
          <cell r="C103">
            <v>0</v>
          </cell>
        </row>
        <row r="104">
          <cell r="B104" t="str">
            <v>09575152523</v>
          </cell>
          <cell r="C104">
            <v>0</v>
          </cell>
        </row>
        <row r="105">
          <cell r="B105" t="str">
            <v>09575252525</v>
          </cell>
          <cell r="C105">
            <v>0</v>
          </cell>
        </row>
        <row r="106">
          <cell r="B106" t="str">
            <v>09582152529</v>
          </cell>
          <cell r="C106">
            <v>0</v>
          </cell>
        </row>
        <row r="107">
          <cell r="B107" t="str">
            <v>09582152534</v>
          </cell>
          <cell r="C107">
            <v>16146.507683642925</v>
          </cell>
        </row>
        <row r="108">
          <cell r="B108" t="str">
            <v>09585652010</v>
          </cell>
          <cell r="C108">
            <v>0</v>
          </cell>
        </row>
        <row r="109">
          <cell r="B109" t="str">
            <v>09592052529</v>
          </cell>
          <cell r="C109">
            <v>12242.82865446602</v>
          </cell>
        </row>
        <row r="110">
          <cell r="B110" t="str">
            <v>09595052527</v>
          </cell>
          <cell r="C110">
            <v>0</v>
          </cell>
        </row>
        <row r="111">
          <cell r="B111" t="str">
            <v>09595052531</v>
          </cell>
          <cell r="C111">
            <v>52822.531180741527</v>
          </cell>
        </row>
        <row r="112">
          <cell r="B112" t="str">
            <v>09595552528</v>
          </cell>
          <cell r="C112">
            <v>36326.535984888702</v>
          </cell>
        </row>
        <row r="113">
          <cell r="B113" t="str">
            <v>09595552529</v>
          </cell>
          <cell r="C113">
            <v>24413.63055381941</v>
          </cell>
        </row>
        <row r="114">
          <cell r="B114" t="str">
            <v>BS/CI Clarksville</v>
          </cell>
          <cell r="C114">
            <v>0</v>
          </cell>
        </row>
        <row r="115">
          <cell r="B115" t="str">
            <v>BS/CI Muncie 08</v>
          </cell>
          <cell r="C115">
            <v>0</v>
          </cell>
        </row>
        <row r="116">
          <cell r="B116" t="str">
            <v>09595402052523</v>
          </cell>
          <cell r="C116">
            <v>33804.140404262231</v>
          </cell>
        </row>
        <row r="117">
          <cell r="B117" t="str">
            <v>09574102052523</v>
          </cell>
          <cell r="C117">
            <v>25883.471146105097</v>
          </cell>
        </row>
        <row r="118">
          <cell r="B118" t="str">
            <v>09582102052523</v>
          </cell>
          <cell r="C118">
            <v>20433.984621999785</v>
          </cell>
        </row>
        <row r="119">
          <cell r="B119" t="str">
            <v>09582102052525</v>
          </cell>
          <cell r="C119">
            <v>42074.794274606109</v>
          </cell>
        </row>
        <row r="120">
          <cell r="B120" t="str">
            <v>10595002052011</v>
          </cell>
          <cell r="C120">
            <v>5409.0244668704363</v>
          </cell>
        </row>
        <row r="121">
          <cell r="B121" t="str">
            <v>09595002052523</v>
          </cell>
          <cell r="C121">
            <v>23435.40946221332</v>
          </cell>
        </row>
        <row r="122">
          <cell r="B122" t="str">
            <v>09595002052525</v>
          </cell>
          <cell r="C122">
            <v>14341.379284299355</v>
          </cell>
        </row>
        <row r="123">
          <cell r="B123" t="str">
            <v>09595002052526</v>
          </cell>
          <cell r="C123">
            <v>18370.176527456497</v>
          </cell>
        </row>
        <row r="124">
          <cell r="B124" t="str">
            <v>10595002052212</v>
          </cell>
          <cell r="C124">
            <v>24999.988523790737</v>
          </cell>
        </row>
        <row r="125">
          <cell r="B125" t="str">
            <v>09592002052523</v>
          </cell>
          <cell r="C125">
            <v>33621.078323857648</v>
          </cell>
        </row>
        <row r="126">
          <cell r="B126" t="str">
            <v>09592002052525</v>
          </cell>
          <cell r="C126">
            <v>16390.970798837592</v>
          </cell>
        </row>
        <row r="127">
          <cell r="B127" t="str">
            <v>09592002052526</v>
          </cell>
          <cell r="C127">
            <v>18811.505876653839</v>
          </cell>
        </row>
        <row r="128">
          <cell r="B128" t="str">
            <v>10592702052210</v>
          </cell>
          <cell r="C128">
            <v>6206.4829637520379</v>
          </cell>
        </row>
        <row r="129">
          <cell r="B129" t="str">
            <v>10592702052212</v>
          </cell>
          <cell r="C129">
            <v>23101.340189011746</v>
          </cell>
        </row>
        <row r="130">
          <cell r="B130" t="str">
            <v>10583302052210</v>
          </cell>
          <cell r="C130">
            <v>3434.0135731576952</v>
          </cell>
        </row>
        <row r="131">
          <cell r="B131" t="str">
            <v>10595502052210</v>
          </cell>
          <cell r="C131">
            <v>20380.790740541615</v>
          </cell>
        </row>
        <row r="132">
          <cell r="B132" t="str">
            <v>10592402052210</v>
          </cell>
          <cell r="C132">
            <v>15687.349266244679</v>
          </cell>
        </row>
        <row r="133">
          <cell r="B133" t="str">
            <v>10595402052210</v>
          </cell>
          <cell r="C133">
            <v>30657.027853321037</v>
          </cell>
        </row>
        <row r="134">
          <cell r="B134" t="str">
            <v>10595502052212</v>
          </cell>
          <cell r="C134">
            <v>18843.169885532829</v>
          </cell>
        </row>
        <row r="135">
          <cell r="B135" t="str">
            <v>10573302052210</v>
          </cell>
          <cell r="C135">
            <v>21760.057905540896</v>
          </cell>
        </row>
        <row r="136">
          <cell r="B136" t="str">
            <v>10583202052210</v>
          </cell>
          <cell r="C136">
            <v>47636.398977119134</v>
          </cell>
        </row>
        <row r="137">
          <cell r="B137" t="str">
            <v>10583402052210</v>
          </cell>
          <cell r="C137">
            <v>32798.97509775345</v>
          </cell>
        </row>
        <row r="138">
          <cell r="B138" t="str">
            <v>10592002052210</v>
          </cell>
          <cell r="C138">
            <v>23622.244731296163</v>
          </cell>
        </row>
        <row r="139">
          <cell r="B139" t="str">
            <v>10592002052212</v>
          </cell>
          <cell r="C139">
            <v>58117.434030704506</v>
          </cell>
        </row>
        <row r="140">
          <cell r="B140" t="str">
            <v>10592002052213</v>
          </cell>
          <cell r="C140">
            <v>32176.698726617884</v>
          </cell>
        </row>
        <row r="141">
          <cell r="B141" t="str">
            <v>10592002052214</v>
          </cell>
          <cell r="C141">
            <v>27474.335009726507</v>
          </cell>
        </row>
        <row r="142">
          <cell r="B142" t="str">
            <v>10592702052213</v>
          </cell>
          <cell r="C142">
            <v>18062.865630735014</v>
          </cell>
        </row>
        <row r="143">
          <cell r="B143" t="str">
            <v>10592802052210</v>
          </cell>
          <cell r="C143">
            <v>23687.746006821904</v>
          </cell>
        </row>
        <row r="144">
          <cell r="B144" t="str">
            <v>10595402052212</v>
          </cell>
          <cell r="C144">
            <v>32079.930939884751</v>
          </cell>
        </row>
        <row r="145">
          <cell r="B145" t="str">
            <v>10592502052210</v>
          </cell>
          <cell r="C145">
            <v>25982.307018719501</v>
          </cell>
        </row>
        <row r="146">
          <cell r="B146" t="str">
            <v>10595302052210</v>
          </cell>
          <cell r="C146">
            <v>22147.029284495537</v>
          </cell>
        </row>
        <row r="147">
          <cell r="B147" t="str">
            <v>10595302052212</v>
          </cell>
          <cell r="C147">
            <v>8744.3849141101255</v>
          </cell>
        </row>
        <row r="148">
          <cell r="B148" t="str">
            <v>11592002052210</v>
          </cell>
          <cell r="C148">
            <v>10923.168894144754</v>
          </cell>
        </row>
        <row r="149">
          <cell r="B149" t="str">
            <v>11574102052213</v>
          </cell>
          <cell r="C149">
            <v>12044.515873154573</v>
          </cell>
        </row>
        <row r="150">
          <cell r="B150" t="str">
            <v>11595502052210</v>
          </cell>
          <cell r="C150">
            <v>0</v>
          </cell>
        </row>
        <row r="151">
          <cell r="B151" t="str">
            <v>11595502052212</v>
          </cell>
          <cell r="C151">
            <v>15702.898983283567</v>
          </cell>
        </row>
        <row r="152">
          <cell r="B152" t="str">
            <v>11573302052210</v>
          </cell>
          <cell r="C152">
            <v>11384.090599067456</v>
          </cell>
        </row>
        <row r="153">
          <cell r="B153" t="str">
            <v>11573302052212</v>
          </cell>
          <cell r="C153">
            <v>6974.9307582797492</v>
          </cell>
        </row>
        <row r="154">
          <cell r="B154" t="str">
            <v>11574102052214</v>
          </cell>
          <cell r="C154">
            <v>4773.3277056845</v>
          </cell>
        </row>
        <row r="155">
          <cell r="B155" t="str">
            <v>11574102052215</v>
          </cell>
          <cell r="C155">
            <v>368.29653908124999</v>
          </cell>
        </row>
        <row r="156">
          <cell r="B156" t="str">
            <v>11575202052214</v>
          </cell>
          <cell r="C156">
            <v>2572.3786451187498</v>
          </cell>
        </row>
        <row r="157">
          <cell r="B157" t="str">
            <v>11575302052210</v>
          </cell>
          <cell r="C157">
            <v>913.86904747125004</v>
          </cell>
        </row>
        <row r="158">
          <cell r="B158" t="str">
            <v>11583202052212</v>
          </cell>
          <cell r="C158">
            <v>23355.187745784846</v>
          </cell>
        </row>
        <row r="159">
          <cell r="B159" t="str">
            <v>11583402052210</v>
          </cell>
          <cell r="C159">
            <v>26766.770891112817</v>
          </cell>
        </row>
        <row r="160">
          <cell r="B160" t="str">
            <v>11592002052216</v>
          </cell>
          <cell r="C160">
            <v>6829.314379669504</v>
          </cell>
        </row>
        <row r="161">
          <cell r="B161" t="str">
            <v>11592702052210</v>
          </cell>
          <cell r="C161">
            <v>6773.5432053088098</v>
          </cell>
        </row>
        <row r="162">
          <cell r="B162" t="str">
            <v>11592702052212</v>
          </cell>
          <cell r="C162">
            <v>3332.6353503513292</v>
          </cell>
        </row>
        <row r="163">
          <cell r="B163" t="str">
            <v>11595002052210</v>
          </cell>
          <cell r="C163">
            <v>9291.1795272915006</v>
          </cell>
        </row>
        <row r="164">
          <cell r="B164" t="str">
            <v>11595502052213</v>
          </cell>
          <cell r="C164">
            <v>2768.3424599999998</v>
          </cell>
        </row>
        <row r="165">
          <cell r="B165" t="str">
            <v>11595902052212</v>
          </cell>
          <cell r="C165">
            <v>14945.096546547251</v>
          </cell>
        </row>
        <row r="166">
          <cell r="B166" t="str">
            <v>10573302052212</v>
          </cell>
          <cell r="C166">
            <v>13592.023764474381</v>
          </cell>
        </row>
        <row r="167">
          <cell r="B167" t="str">
            <v>11573302052213</v>
          </cell>
          <cell r="C167">
            <v>3607.9023117275001</v>
          </cell>
        </row>
        <row r="168">
          <cell r="B168" t="str">
            <v>11573302052214</v>
          </cell>
          <cell r="C168">
            <v>0</v>
          </cell>
        </row>
        <row r="169">
          <cell r="B169" t="str">
            <v>11574102052210</v>
          </cell>
          <cell r="C169">
            <v>2390.0168296422094</v>
          </cell>
        </row>
        <row r="170">
          <cell r="B170" t="str">
            <v>11575102052210</v>
          </cell>
          <cell r="C170">
            <v>2756.1184990950001</v>
          </cell>
        </row>
        <row r="171">
          <cell r="B171" t="str">
            <v>11575102052212</v>
          </cell>
          <cell r="C171">
            <v>4399.5007618575</v>
          </cell>
        </row>
        <row r="172">
          <cell r="B172" t="str">
            <v>11575302052212</v>
          </cell>
          <cell r="C172">
            <v>5807.4371744126092</v>
          </cell>
        </row>
        <row r="173">
          <cell r="B173" t="str">
            <v>11582102052210</v>
          </cell>
          <cell r="C173">
            <v>0</v>
          </cell>
        </row>
        <row r="174">
          <cell r="B174" t="str">
            <v>11582102052212</v>
          </cell>
          <cell r="C174">
            <v>0</v>
          </cell>
        </row>
        <row r="175">
          <cell r="B175" t="str">
            <v>11582102052213</v>
          </cell>
          <cell r="C175">
            <v>5726.1535008600003</v>
          </cell>
        </row>
        <row r="176">
          <cell r="B176" t="str">
            <v>11583202052213</v>
          </cell>
          <cell r="C176">
            <v>7842.2117528437511</v>
          </cell>
        </row>
        <row r="177">
          <cell r="B177" t="str">
            <v>11583202052215</v>
          </cell>
          <cell r="C177">
            <v>7511.1142650237507</v>
          </cell>
        </row>
        <row r="178">
          <cell r="B178" t="str">
            <v>11592002052212</v>
          </cell>
          <cell r="C178">
            <v>19079.724447092249</v>
          </cell>
        </row>
        <row r="179">
          <cell r="B179" t="str">
            <v>11592002052214</v>
          </cell>
          <cell r="C179">
            <v>16183.447206458772</v>
          </cell>
        </row>
        <row r="180">
          <cell r="B180" t="str">
            <v>11592002052217</v>
          </cell>
          <cell r="C180">
            <v>1990.1935625000001</v>
          </cell>
        </row>
        <row r="181">
          <cell r="B181" t="str">
            <v>11592502052210</v>
          </cell>
          <cell r="C181">
            <v>27351.816939677537</v>
          </cell>
        </row>
        <row r="182">
          <cell r="B182" t="str">
            <v>11595002052212</v>
          </cell>
          <cell r="C182">
            <v>0</v>
          </cell>
        </row>
        <row r="183">
          <cell r="B183" t="str">
            <v>11595202052210</v>
          </cell>
          <cell r="C183">
            <v>921.15120499999989</v>
          </cell>
        </row>
        <row r="184">
          <cell r="B184" t="str">
            <v>11595302052210</v>
          </cell>
          <cell r="C184">
            <v>1942.3478636412499</v>
          </cell>
        </row>
        <row r="185">
          <cell r="B185" t="str">
            <v>11595302052212</v>
          </cell>
          <cell r="C185">
            <v>32104.924604715372</v>
          </cell>
        </row>
        <row r="186">
          <cell r="B186" t="str">
            <v>11595302052213</v>
          </cell>
          <cell r="C186">
            <v>0</v>
          </cell>
        </row>
        <row r="187">
          <cell r="B187" t="str">
            <v>11595402052213</v>
          </cell>
          <cell r="C187">
            <v>16896.911193428186</v>
          </cell>
        </row>
        <row r="188">
          <cell r="B188" t="str">
            <v>11595802052210</v>
          </cell>
          <cell r="C188">
            <v>7153.4420380662505</v>
          </cell>
        </row>
        <row r="189">
          <cell r="B189" t="str">
            <v>11592402052212</v>
          </cell>
          <cell r="C189">
            <v>6000.5987372337495</v>
          </cell>
        </row>
        <row r="190">
          <cell r="B190" t="str">
            <v>12592402052210</v>
          </cell>
          <cell r="C190">
            <v>7420.9832806407776</v>
          </cell>
        </row>
        <row r="191">
          <cell r="B191" t="str">
            <v>12582102052212</v>
          </cell>
          <cell r="C191">
            <v>0</v>
          </cell>
        </row>
        <row r="192">
          <cell r="B192" t="str">
            <v>12575302052210</v>
          </cell>
          <cell r="C192">
            <v>6715.6423803147773</v>
          </cell>
        </row>
        <row r="193">
          <cell r="B193" t="str">
            <v>12592502052210</v>
          </cell>
          <cell r="C193">
            <v>0</v>
          </cell>
        </row>
        <row r="194">
          <cell r="B194" t="str">
            <v>11583202052214</v>
          </cell>
          <cell r="C194">
            <v>0</v>
          </cell>
        </row>
        <row r="195">
          <cell r="B195" t="str">
            <v>11575202052215</v>
          </cell>
          <cell r="C195">
            <v>0</v>
          </cell>
        </row>
        <row r="196">
          <cell r="B196" t="str">
            <v>11592002052215</v>
          </cell>
          <cell r="C196">
            <v>0</v>
          </cell>
        </row>
        <row r="197">
          <cell r="B197" t="str">
            <v>11592402052210</v>
          </cell>
          <cell r="C197">
            <v>0</v>
          </cell>
        </row>
        <row r="198">
          <cell r="B198" t="str">
            <v>11592902052212</v>
          </cell>
          <cell r="C198">
            <v>0</v>
          </cell>
        </row>
        <row r="199">
          <cell r="B199" t="str">
            <v>11595402052210</v>
          </cell>
          <cell r="C199">
            <v>0</v>
          </cell>
        </row>
        <row r="200">
          <cell r="B200" t="str">
            <v>12575102052210</v>
          </cell>
          <cell r="C200">
            <v>0</v>
          </cell>
        </row>
        <row r="201">
          <cell r="B201" t="str">
            <v>12583302052210</v>
          </cell>
          <cell r="C201">
            <v>0</v>
          </cell>
        </row>
        <row r="202">
          <cell r="B202" t="str">
            <v>12583402052210</v>
          </cell>
          <cell r="C202">
            <v>0</v>
          </cell>
        </row>
        <row r="203">
          <cell r="B203" t="str">
            <v>12592602052212</v>
          </cell>
          <cell r="C203">
            <v>0</v>
          </cell>
        </row>
        <row r="204">
          <cell r="B204" t="str">
            <v>12595002052210</v>
          </cell>
          <cell r="C204">
            <v>0</v>
          </cell>
        </row>
        <row r="205">
          <cell r="B205" t="str">
            <v>11595402052212</v>
          </cell>
          <cell r="C205">
            <v>0</v>
          </cell>
        </row>
        <row r="206">
          <cell r="B206" t="str">
            <v>12573302052212</v>
          </cell>
          <cell r="C206">
            <v>0</v>
          </cell>
        </row>
        <row r="207">
          <cell r="B207" t="str">
            <v>12575202052210</v>
          </cell>
          <cell r="C207">
            <v>0</v>
          </cell>
        </row>
        <row r="208">
          <cell r="B208" t="str">
            <v>12583402052212</v>
          </cell>
          <cell r="C208">
            <v>0</v>
          </cell>
        </row>
        <row r="209">
          <cell r="B209" t="str">
            <v>12595002052212</v>
          </cell>
          <cell r="C209">
            <v>0</v>
          </cell>
        </row>
        <row r="210">
          <cell r="B210" t="str">
            <v>12595502052212</v>
          </cell>
          <cell r="C210">
            <v>0</v>
          </cell>
        </row>
        <row r="211">
          <cell r="B211" t="str">
            <v>12595702052210</v>
          </cell>
          <cell r="C211">
            <v>0</v>
          </cell>
        </row>
        <row r="212">
          <cell r="B212" t="str">
            <v>12595902052212</v>
          </cell>
          <cell r="C212">
            <v>0</v>
          </cell>
        </row>
        <row r="213">
          <cell r="C213">
            <v>5070811.5535206925</v>
          </cell>
        </row>
      </sheetData>
      <sheetData sheetId="3"/>
      <sheetData sheetId="4"/>
      <sheetData sheetId="5">
        <row r="4">
          <cell r="G4">
            <v>39569</v>
          </cell>
          <cell r="H4">
            <v>39600</v>
          </cell>
          <cell r="I4">
            <v>39630</v>
          </cell>
          <cell r="J4">
            <v>39661</v>
          </cell>
          <cell r="K4">
            <v>39692</v>
          </cell>
          <cell r="L4">
            <v>39722</v>
          </cell>
          <cell r="M4">
            <v>39753</v>
          </cell>
          <cell r="N4">
            <v>39783</v>
          </cell>
          <cell r="O4">
            <v>39814</v>
          </cell>
          <cell r="P4">
            <v>39845</v>
          </cell>
          <cell r="Q4">
            <v>39873</v>
          </cell>
          <cell r="R4">
            <v>39904</v>
          </cell>
          <cell r="S4">
            <v>39934</v>
          </cell>
          <cell r="T4">
            <v>39965</v>
          </cell>
          <cell r="U4">
            <v>39995</v>
          </cell>
          <cell r="V4">
            <v>40026</v>
          </cell>
          <cell r="W4">
            <v>40057</v>
          </cell>
          <cell r="X4">
            <v>40087</v>
          </cell>
          <cell r="Y4">
            <v>40118</v>
          </cell>
          <cell r="Z4">
            <v>40148</v>
          </cell>
          <cell r="AA4">
            <v>40179</v>
          </cell>
          <cell r="AB4">
            <v>40210</v>
          </cell>
          <cell r="AC4">
            <v>40238</v>
          </cell>
          <cell r="AD4">
            <v>40269</v>
          </cell>
          <cell r="AE4">
            <v>40299</v>
          </cell>
          <cell r="AF4">
            <v>40330</v>
          </cell>
          <cell r="AG4">
            <v>40360</v>
          </cell>
          <cell r="AH4">
            <v>40391</v>
          </cell>
          <cell r="AI4">
            <v>40422</v>
          </cell>
          <cell r="AJ4">
            <v>40452</v>
          </cell>
          <cell r="AK4">
            <v>40483</v>
          </cell>
          <cell r="AL4">
            <v>40513</v>
          </cell>
          <cell r="AM4">
            <v>40544</v>
          </cell>
          <cell r="AN4">
            <v>40575</v>
          </cell>
          <cell r="AO4">
            <v>40603</v>
          </cell>
          <cell r="AP4">
            <v>40634</v>
          </cell>
          <cell r="AQ4">
            <v>40664</v>
          </cell>
          <cell r="AR4">
            <v>40695</v>
          </cell>
          <cell r="AS4">
            <v>40725</v>
          </cell>
          <cell r="AT4">
            <v>40756</v>
          </cell>
          <cell r="AU4">
            <v>40787</v>
          </cell>
          <cell r="AV4">
            <v>40817</v>
          </cell>
          <cell r="AW4">
            <v>40848</v>
          </cell>
          <cell r="AX4">
            <v>40878</v>
          </cell>
          <cell r="AY4">
            <v>40909</v>
          </cell>
          <cell r="AZ4">
            <v>40940</v>
          </cell>
          <cell r="BA4">
            <v>40969</v>
          </cell>
          <cell r="BB4">
            <v>41000</v>
          </cell>
          <cell r="BC4">
            <v>41030</v>
          </cell>
          <cell r="BD4">
            <v>41061</v>
          </cell>
          <cell r="BE4">
            <v>41091</v>
          </cell>
          <cell r="BF4">
            <v>41122</v>
          </cell>
          <cell r="BG4">
            <v>41153</v>
          </cell>
          <cell r="BH4">
            <v>41183</v>
          </cell>
          <cell r="BI4">
            <v>41214</v>
          </cell>
          <cell r="BJ4">
            <v>41244</v>
          </cell>
          <cell r="BK4" t="str">
            <v>Grand Total</v>
          </cell>
        </row>
        <row r="5">
          <cell r="T5">
            <v>14175.740000000002</v>
          </cell>
          <cell r="U5">
            <v>10623.710000000001</v>
          </cell>
          <cell r="V5">
            <v>6207.3</v>
          </cell>
          <cell r="W5">
            <v>31306.269999999997</v>
          </cell>
          <cell r="X5">
            <v>65457.130000000005</v>
          </cell>
          <cell r="Y5">
            <v>11230.800000000001</v>
          </cell>
          <cell r="Z5">
            <v>8779.2100000000009</v>
          </cell>
          <cell r="AA5">
            <v>2892.7400000000002</v>
          </cell>
          <cell r="AB5">
            <v>799.82</v>
          </cell>
          <cell r="AC5">
            <v>25051.210000000003</v>
          </cell>
          <cell r="AD5">
            <v>27054.020000000008</v>
          </cell>
          <cell r="AE5">
            <v>32999.82</v>
          </cell>
          <cell r="AF5">
            <v>24427.460000000003</v>
          </cell>
          <cell r="AG5">
            <v>26745.32</v>
          </cell>
          <cell r="AH5">
            <v>46570.689999999995</v>
          </cell>
          <cell r="AI5">
            <v>41445.69</v>
          </cell>
          <cell r="AJ5">
            <v>56800.659999999996</v>
          </cell>
          <cell r="AK5">
            <v>60023.57</v>
          </cell>
          <cell r="AL5">
            <v>95569.05</v>
          </cell>
          <cell r="AM5">
            <v>235.51</v>
          </cell>
          <cell r="AN5">
            <v>28.12</v>
          </cell>
          <cell r="AS5">
            <v>10029.15</v>
          </cell>
          <cell r="BK5">
            <v>598452.99</v>
          </cell>
        </row>
        <row r="6">
          <cell r="Q6">
            <v>257.08</v>
          </cell>
          <cell r="R6">
            <v>756.3900000000001</v>
          </cell>
          <cell r="S6">
            <v>37110.429999999978</v>
          </cell>
          <cell r="T6">
            <v>147372.29999999999</v>
          </cell>
          <cell r="U6">
            <v>158313.78000000003</v>
          </cell>
          <cell r="V6">
            <v>55675.12</v>
          </cell>
          <cell r="W6">
            <v>36819.61</v>
          </cell>
          <cell r="X6">
            <v>75303.37999999999</v>
          </cell>
          <cell r="Y6">
            <v>16643.599999999999</v>
          </cell>
          <cell r="Z6">
            <v>7947.92</v>
          </cell>
          <cell r="AB6">
            <v>-15519.730000000001</v>
          </cell>
          <cell r="AC6">
            <v>-122.58999999999999</v>
          </cell>
          <cell r="BK6">
            <v>520557.29</v>
          </cell>
        </row>
        <row r="7">
          <cell r="J7">
            <v>8946.99</v>
          </cell>
          <cell r="K7">
            <v>6318.6100000000006</v>
          </cell>
          <cell r="L7">
            <v>125.62</v>
          </cell>
          <cell r="M7">
            <v>53.870000000000005</v>
          </cell>
          <cell r="N7">
            <v>38811.42</v>
          </cell>
          <cell r="O7">
            <v>79169.930000000008</v>
          </cell>
          <cell r="P7">
            <v>41707.229999999996</v>
          </cell>
          <cell r="Q7">
            <v>135980.65999999997</v>
          </cell>
          <cell r="R7">
            <v>104320.3</v>
          </cell>
          <cell r="S7">
            <v>105461.64</v>
          </cell>
          <cell r="T7">
            <v>152558.28999999995</v>
          </cell>
          <cell r="U7">
            <v>101177.37000000001</v>
          </cell>
          <cell r="V7">
            <v>44600.759999999995</v>
          </cell>
          <cell r="W7">
            <v>-5649.16</v>
          </cell>
          <cell r="X7">
            <v>503.52</v>
          </cell>
          <cell r="Y7">
            <v>29111.23</v>
          </cell>
          <cell r="Z7">
            <v>5785.46</v>
          </cell>
          <cell r="AA7">
            <v>-400.12</v>
          </cell>
          <cell r="AB7">
            <v>-6977.8200000000006</v>
          </cell>
          <cell r="BK7">
            <v>841605.79999999993</v>
          </cell>
        </row>
        <row r="8">
          <cell r="I8">
            <v>336.1</v>
          </cell>
          <cell r="J8">
            <v>3317.2599999999998</v>
          </cell>
          <cell r="K8">
            <v>9.86</v>
          </cell>
          <cell r="L8">
            <v>79539.87000000001</v>
          </cell>
          <cell r="M8">
            <v>31416.59</v>
          </cell>
          <cell r="N8">
            <v>73229.409999999989</v>
          </cell>
          <cell r="O8">
            <v>95102.830000000016</v>
          </cell>
          <cell r="P8">
            <v>107561.18000000004</v>
          </cell>
          <cell r="Q8">
            <v>36961.87000000001</v>
          </cell>
          <cell r="R8">
            <v>27890.14</v>
          </cell>
          <cell r="S8">
            <v>10777.779999999999</v>
          </cell>
          <cell r="T8">
            <v>7324.3700000000008</v>
          </cell>
          <cell r="U8">
            <v>5290.52</v>
          </cell>
          <cell r="V8">
            <v>-2887.0000000000005</v>
          </cell>
          <cell r="W8">
            <v>31.43</v>
          </cell>
          <cell r="X8">
            <v>-61.18</v>
          </cell>
          <cell r="Y8">
            <v>18372.010000000002</v>
          </cell>
          <cell r="Z8">
            <v>722.6</v>
          </cell>
          <cell r="AC8">
            <v>-5661.62</v>
          </cell>
          <cell r="BK8">
            <v>489274.02000000014</v>
          </cell>
        </row>
        <row r="9">
          <cell r="H9">
            <v>22631.229999999996</v>
          </cell>
          <cell r="I9">
            <v>58737.150000000009</v>
          </cell>
          <cell r="J9">
            <v>58805.279999999999</v>
          </cell>
          <cell r="K9">
            <v>224269.53000000003</v>
          </cell>
          <cell r="L9">
            <v>291974.2</v>
          </cell>
          <cell r="M9">
            <v>91639.24</v>
          </cell>
          <cell r="N9">
            <v>81724.37</v>
          </cell>
          <cell r="O9">
            <v>34996.159999999989</v>
          </cell>
          <cell r="P9">
            <v>37662.579999999987</v>
          </cell>
          <cell r="Q9">
            <v>1880.8400000000001</v>
          </cell>
          <cell r="R9">
            <v>903.82999999999993</v>
          </cell>
          <cell r="S9">
            <v>6889.1699999999992</v>
          </cell>
          <cell r="T9">
            <v>3351.09</v>
          </cell>
          <cell r="U9">
            <v>3586.8100000000004</v>
          </cell>
          <cell r="V9">
            <v>7553.47</v>
          </cell>
          <cell r="W9">
            <v>-2333.0700000000006</v>
          </cell>
          <cell r="X9">
            <v>57029.549999999996</v>
          </cell>
          <cell r="Z9">
            <v>163.17000000000002</v>
          </cell>
          <cell r="AA9">
            <v>-278.64999999999998</v>
          </cell>
          <cell r="AC9">
            <v>-3482.2300000000005</v>
          </cell>
          <cell r="BK9">
            <v>977703.7200000002</v>
          </cell>
        </row>
        <row r="10">
          <cell r="H10">
            <v>22664.47</v>
          </cell>
          <cell r="I10">
            <v>169972.39</v>
          </cell>
          <cell r="J10">
            <v>89714.01999999999</v>
          </cell>
          <cell r="K10">
            <v>114857.58999999997</v>
          </cell>
          <cell r="L10">
            <v>94034.859999999986</v>
          </cell>
          <cell r="M10">
            <v>67471.19</v>
          </cell>
          <cell r="N10">
            <v>83523.31</v>
          </cell>
          <cell r="O10">
            <v>48271.810000000005</v>
          </cell>
          <cell r="P10">
            <v>77967.960000000021</v>
          </cell>
          <cell r="Q10">
            <v>117226.41000000003</v>
          </cell>
          <cell r="R10">
            <v>35735.1</v>
          </cell>
          <cell r="S10">
            <v>4050.4699999999993</v>
          </cell>
          <cell r="T10">
            <v>24937.839999999997</v>
          </cell>
          <cell r="U10">
            <v>15746.120000000003</v>
          </cell>
          <cell r="V10">
            <v>1206.79</v>
          </cell>
          <cell r="W10">
            <v>5642.5</v>
          </cell>
          <cell r="X10">
            <v>3533.3</v>
          </cell>
          <cell r="Y10">
            <v>30629.11</v>
          </cell>
          <cell r="Z10">
            <v>1212.0999999999999</v>
          </cell>
          <cell r="AA10">
            <v>2072.8699999999994</v>
          </cell>
          <cell r="AD10">
            <v>-10337.290000000001</v>
          </cell>
          <cell r="BK10">
            <v>1000132.92</v>
          </cell>
        </row>
        <row r="11">
          <cell r="K11">
            <v>1389.9099999999999</v>
          </cell>
          <cell r="L11">
            <v>5.14</v>
          </cell>
          <cell r="M11">
            <v>4.88</v>
          </cell>
          <cell r="N11">
            <v>2640.29</v>
          </cell>
          <cell r="O11">
            <v>15.350000000000001</v>
          </cell>
          <cell r="P11">
            <v>6.09</v>
          </cell>
          <cell r="Q11">
            <v>102636.37</v>
          </cell>
          <cell r="R11">
            <v>106.69</v>
          </cell>
          <cell r="S11">
            <v>106.81</v>
          </cell>
          <cell r="T11">
            <v>-62522.879999999997</v>
          </cell>
          <cell r="U11">
            <v>44081.45</v>
          </cell>
          <cell r="V11">
            <v>10886.330000000004</v>
          </cell>
          <cell r="W11">
            <v>32292.090000000004</v>
          </cell>
          <cell r="X11">
            <v>14789.539999999999</v>
          </cell>
          <cell r="Y11">
            <v>16108.470000000001</v>
          </cell>
          <cell r="Z11">
            <v>3781.2300000000005</v>
          </cell>
          <cell r="AC11">
            <v>-2436.6</v>
          </cell>
          <cell r="BK11">
            <v>163891.16000000003</v>
          </cell>
        </row>
        <row r="12">
          <cell r="T12">
            <v>16159.86</v>
          </cell>
          <cell r="U12">
            <v>46.86</v>
          </cell>
          <cell r="W12">
            <v>1839.8600000000001</v>
          </cell>
          <cell r="AA12">
            <v>995.91</v>
          </cell>
          <cell r="AH12">
            <v>103461.24999999999</v>
          </cell>
          <cell r="AI12">
            <v>57946.650000000016</v>
          </cell>
          <cell r="AJ12">
            <v>45335.219999999994</v>
          </cell>
          <cell r="AK12">
            <v>60031.669999999991</v>
          </cell>
          <cell r="AL12">
            <v>7773.3700000000008</v>
          </cell>
          <cell r="AM12">
            <v>74955.670000000013</v>
          </cell>
          <cell r="AN12">
            <v>47955.240000000005</v>
          </cell>
          <cell r="AO12">
            <v>62162.789999999994</v>
          </cell>
          <cell r="AP12">
            <v>79882.989999999991</v>
          </cell>
          <cell r="AQ12">
            <v>52450.409999999989</v>
          </cell>
          <cell r="AR12">
            <v>97752.239999999991</v>
          </cell>
          <cell r="AS12">
            <v>26641.429999999997</v>
          </cell>
          <cell r="AT12">
            <v>4807.0300000000007</v>
          </cell>
          <cell r="AU12">
            <v>3472.6099999999997</v>
          </cell>
          <cell r="AV12">
            <v>23335.72</v>
          </cell>
          <cell r="AW12">
            <v>64425.250000000007</v>
          </cell>
          <cell r="AX12">
            <v>95953.99</v>
          </cell>
          <cell r="AY12">
            <v>24780.57</v>
          </cell>
          <cell r="AZ12">
            <v>24062.98</v>
          </cell>
          <cell r="BA12">
            <v>89359.359999999986</v>
          </cell>
          <cell r="BB12">
            <v>1294.7199999999998</v>
          </cell>
          <cell r="BC12">
            <v>10038.82</v>
          </cell>
          <cell r="BD12">
            <v>215.29</v>
          </cell>
          <cell r="BE12">
            <v>338.87999999999994</v>
          </cell>
          <cell r="BF12">
            <v>-10562.93</v>
          </cell>
          <cell r="BH12">
            <v>-2240.87</v>
          </cell>
          <cell r="BI12">
            <v>-103.91999999999999</v>
          </cell>
          <cell r="BJ12">
            <v>0</v>
          </cell>
          <cell r="BK12">
            <v>1064568.9200000002</v>
          </cell>
        </row>
        <row r="13">
          <cell r="J13">
            <v>24297.170000000002</v>
          </cell>
          <cell r="K13">
            <v>2044.85</v>
          </cell>
          <cell r="L13">
            <v>9021.630000000001</v>
          </cell>
          <cell r="M13">
            <v>98657.369999999981</v>
          </cell>
          <cell r="N13">
            <v>82910.959999999992</v>
          </cell>
          <cell r="O13">
            <v>18440.600000000002</v>
          </cell>
          <cell r="P13">
            <v>5912.6900000000014</v>
          </cell>
          <cell r="Q13">
            <v>-304.14</v>
          </cell>
          <cell r="R13">
            <v>11.370000000000005</v>
          </cell>
          <cell r="S13">
            <v>39385.78</v>
          </cell>
          <cell r="T13">
            <v>10909.800000000001</v>
          </cell>
          <cell r="U13">
            <v>1772.0200000000002</v>
          </cell>
          <cell r="V13">
            <v>2531.42</v>
          </cell>
          <cell r="W13">
            <v>893.68000000000006</v>
          </cell>
          <cell r="X13">
            <v>-4838.24</v>
          </cell>
          <cell r="BK13">
            <v>291646.95999999996</v>
          </cell>
        </row>
        <row r="14">
          <cell r="J14">
            <v>41885.839999999997</v>
          </cell>
          <cell r="K14">
            <v>22247.43</v>
          </cell>
          <cell r="L14">
            <v>149074.06999999998</v>
          </cell>
          <cell r="M14">
            <v>162139.20000000001</v>
          </cell>
          <cell r="N14">
            <v>60897.71</v>
          </cell>
          <cell r="O14">
            <v>43108.750000000007</v>
          </cell>
          <cell r="P14">
            <v>264.95</v>
          </cell>
          <cell r="Q14">
            <v>3243.6500000000005</v>
          </cell>
          <cell r="R14">
            <v>176.9</v>
          </cell>
          <cell r="S14">
            <v>5244.1799999999994</v>
          </cell>
          <cell r="T14">
            <v>4627.0700000000006</v>
          </cell>
          <cell r="U14">
            <v>518.19000000000005</v>
          </cell>
          <cell r="V14">
            <v>826.71000000000026</v>
          </cell>
          <cell r="X14">
            <v>-3711.1900000000005</v>
          </cell>
          <cell r="Z14">
            <v>-1086.52</v>
          </cell>
          <cell r="BK14">
            <v>489456.94000000006</v>
          </cell>
        </row>
        <row r="15">
          <cell r="J15">
            <v>35482.930000000008</v>
          </cell>
          <cell r="K15">
            <v>6644.5700000000006</v>
          </cell>
          <cell r="L15">
            <v>85392.08</v>
          </cell>
          <cell r="M15">
            <v>54590.520000000004</v>
          </cell>
          <cell r="N15">
            <v>98483.069999999992</v>
          </cell>
          <cell r="O15">
            <v>13153.819999999998</v>
          </cell>
          <cell r="P15">
            <v>2120.98</v>
          </cell>
          <cell r="Q15">
            <v>157.75</v>
          </cell>
          <cell r="R15">
            <v>-1223.52</v>
          </cell>
          <cell r="U15">
            <v>21760.660000000003</v>
          </cell>
          <cell r="W15">
            <v>178.71999999999997</v>
          </cell>
          <cell r="X15">
            <v>-1993.2700000000002</v>
          </cell>
          <cell r="Z15">
            <v>1526.0200000000002</v>
          </cell>
          <cell r="BK15">
            <v>316274.32999999996</v>
          </cell>
        </row>
        <row r="16">
          <cell r="J16">
            <v>47503.469999999994</v>
          </cell>
          <cell r="K16">
            <v>25318.989999999998</v>
          </cell>
          <cell r="L16">
            <v>117474.96000000004</v>
          </cell>
          <cell r="M16">
            <v>164423.99000000002</v>
          </cell>
          <cell r="N16">
            <v>165198.19</v>
          </cell>
          <cell r="O16">
            <v>42379.519999999997</v>
          </cell>
          <cell r="P16">
            <v>2576.9600000000005</v>
          </cell>
          <cell r="Q16">
            <v>1451.5499999999997</v>
          </cell>
          <cell r="R16">
            <v>-1725.48</v>
          </cell>
          <cell r="T16">
            <v>6564.5300000000007</v>
          </cell>
          <cell r="U16">
            <v>3159.4300000000003</v>
          </cell>
          <cell r="V16">
            <v>41103.370000000003</v>
          </cell>
          <cell r="W16">
            <v>-978.5100000000001</v>
          </cell>
          <cell r="X16">
            <v>-4062.8799999999997</v>
          </cell>
          <cell r="Z16">
            <v>988.45000000000016</v>
          </cell>
          <cell r="BK16">
            <v>611376.54</v>
          </cell>
        </row>
        <row r="17">
          <cell r="J17">
            <v>4453.34</v>
          </cell>
          <cell r="K17">
            <v>4240.2299999999996</v>
          </cell>
          <cell r="L17">
            <v>41843.120000000003</v>
          </cell>
          <cell r="M17">
            <v>58649.21</v>
          </cell>
          <cell r="N17">
            <v>289924.06000000011</v>
          </cell>
          <cell r="O17">
            <v>26058.579999999994</v>
          </cell>
          <cell r="P17">
            <v>48214.14</v>
          </cell>
          <cell r="Q17">
            <v>5228.2099999999991</v>
          </cell>
          <cell r="R17">
            <v>1490.94</v>
          </cell>
          <cell r="S17">
            <v>116039.81000000001</v>
          </cell>
          <cell r="T17">
            <v>49451.310000000005</v>
          </cell>
          <cell r="U17">
            <v>-6981.31</v>
          </cell>
          <cell r="V17">
            <v>2371.41</v>
          </cell>
          <cell r="W17">
            <v>4187.7700000000004</v>
          </cell>
          <cell r="X17">
            <v>-4215.9699999999993</v>
          </cell>
          <cell r="Y17">
            <v>48.599999999999994</v>
          </cell>
          <cell r="Z17">
            <v>7339.46</v>
          </cell>
          <cell r="BK17">
            <v>648342.91000000015</v>
          </cell>
        </row>
        <row r="18">
          <cell r="J18">
            <v>3208.4500000000003</v>
          </cell>
          <cell r="K18">
            <v>2619.62</v>
          </cell>
          <cell r="L18">
            <v>211.66</v>
          </cell>
          <cell r="M18">
            <v>10181.020000000002</v>
          </cell>
          <cell r="N18">
            <v>1606.69</v>
          </cell>
          <cell r="O18">
            <v>1680.38</v>
          </cell>
          <cell r="P18">
            <v>12390.29</v>
          </cell>
          <cell r="Q18">
            <v>57979.719999999994</v>
          </cell>
          <cell r="R18">
            <v>16591.22</v>
          </cell>
          <cell r="S18">
            <v>118.14000000000001</v>
          </cell>
          <cell r="T18">
            <v>6056.5300000000007</v>
          </cell>
          <cell r="U18">
            <v>847.68</v>
          </cell>
          <cell r="V18">
            <v>13122.199999999999</v>
          </cell>
          <cell r="W18">
            <v>3933.79</v>
          </cell>
          <cell r="BK18">
            <v>130547.38999999998</v>
          </cell>
        </row>
        <row r="19">
          <cell r="J19">
            <v>2912.6600000000003</v>
          </cell>
          <cell r="K19">
            <v>7724.42</v>
          </cell>
          <cell r="L19">
            <v>39.36</v>
          </cell>
          <cell r="M19">
            <v>21155.57</v>
          </cell>
          <cell r="N19">
            <v>61578.330000000009</v>
          </cell>
          <cell r="O19">
            <v>134815.76999999999</v>
          </cell>
          <cell r="P19">
            <v>19900.419999999998</v>
          </cell>
          <cell r="Q19">
            <v>164170.87000000002</v>
          </cell>
          <cell r="R19">
            <v>70566.53</v>
          </cell>
          <cell r="S19">
            <v>33518.89</v>
          </cell>
          <cell r="T19">
            <v>5138.8399999999992</v>
          </cell>
          <cell r="U19">
            <v>17934.59</v>
          </cell>
          <cell r="V19">
            <v>13035.29</v>
          </cell>
          <cell r="Z19">
            <v>23223.11</v>
          </cell>
          <cell r="AB19">
            <v>953.31999999999994</v>
          </cell>
          <cell r="AC19">
            <v>65.95</v>
          </cell>
          <cell r="BK19">
            <v>576733.92000000004</v>
          </cell>
        </row>
        <row r="20">
          <cell r="J20">
            <v>3610.5000000000005</v>
          </cell>
          <cell r="K20">
            <v>7472.7300000000005</v>
          </cell>
          <cell r="L20">
            <v>16889.27</v>
          </cell>
          <cell r="M20">
            <v>4040.03</v>
          </cell>
          <cell r="N20">
            <v>226850.92</v>
          </cell>
          <cell r="O20">
            <v>441793.28000000003</v>
          </cell>
          <cell r="P20">
            <v>185223.14</v>
          </cell>
          <cell r="Q20">
            <v>112813.26</v>
          </cell>
          <cell r="R20">
            <v>1100.8</v>
          </cell>
          <cell r="S20">
            <v>363.82</v>
          </cell>
          <cell r="T20">
            <v>120.42</v>
          </cell>
          <cell r="U20">
            <v>27401.99</v>
          </cell>
          <cell r="BK20">
            <v>1027680.16</v>
          </cell>
        </row>
        <row r="21">
          <cell r="K21">
            <v>1989.1200000000001</v>
          </cell>
          <cell r="L21">
            <v>233.19</v>
          </cell>
          <cell r="M21">
            <v>2398.6300000000006</v>
          </cell>
          <cell r="N21">
            <v>14547.369999999997</v>
          </cell>
          <cell r="O21">
            <v>355.70000000000016</v>
          </cell>
          <cell r="P21">
            <v>342.55000000000007</v>
          </cell>
          <cell r="Q21">
            <v>1182.94</v>
          </cell>
          <cell r="X21">
            <v>-161.03</v>
          </cell>
          <cell r="BK21">
            <v>20888.469999999998</v>
          </cell>
        </row>
        <row r="22">
          <cell r="J22">
            <v>15823.28</v>
          </cell>
          <cell r="K22">
            <v>10640.13</v>
          </cell>
          <cell r="L22">
            <v>5380.7</v>
          </cell>
          <cell r="M22">
            <v>1408.1100000000001</v>
          </cell>
          <cell r="N22">
            <v>199959.61000000002</v>
          </cell>
          <cell r="O22">
            <v>99399.540000000023</v>
          </cell>
          <cell r="P22">
            <v>25475.609999999997</v>
          </cell>
          <cell r="Q22">
            <v>8840.4700000000012</v>
          </cell>
          <cell r="R22">
            <v>31185.719999999994</v>
          </cell>
          <cell r="S22">
            <v>24874.45</v>
          </cell>
          <cell r="T22">
            <v>36650.730000000003</v>
          </cell>
          <cell r="U22">
            <v>32850.230000000003</v>
          </cell>
          <cell r="V22">
            <v>35371.97</v>
          </cell>
          <cell r="W22">
            <v>3110</v>
          </cell>
          <cell r="X22">
            <v>315.3</v>
          </cell>
          <cell r="Y22">
            <v>72.900000000000006</v>
          </cell>
          <cell r="Z22">
            <v>6467.4400000000005</v>
          </cell>
          <cell r="BK22">
            <v>537826.19000000006</v>
          </cell>
        </row>
        <row r="23">
          <cell r="J23">
            <v>4941.3099999999995</v>
          </cell>
          <cell r="K23">
            <v>4485.9500000000007</v>
          </cell>
          <cell r="L23">
            <v>2306.8100000000004</v>
          </cell>
          <cell r="M23">
            <v>3191.96</v>
          </cell>
          <cell r="N23">
            <v>36840.249999999993</v>
          </cell>
          <cell r="O23">
            <v>51713.4</v>
          </cell>
          <cell r="P23">
            <v>98973.549999999988</v>
          </cell>
          <cell r="Q23">
            <v>135913.26</v>
          </cell>
          <cell r="R23">
            <v>215177.17999999996</v>
          </cell>
          <cell r="S23">
            <v>33109.22</v>
          </cell>
          <cell r="T23">
            <v>5077.4699999999993</v>
          </cell>
          <cell r="U23">
            <v>43897.41</v>
          </cell>
          <cell r="V23">
            <v>1734.2</v>
          </cell>
          <cell r="W23">
            <v>1640.04</v>
          </cell>
          <cell r="X23">
            <v>1150.2</v>
          </cell>
          <cell r="Y23">
            <v>-9677.56</v>
          </cell>
          <cell r="Z23">
            <v>2793.34</v>
          </cell>
          <cell r="AB23">
            <v>-243.2</v>
          </cell>
          <cell r="BK23">
            <v>633024.7899999998</v>
          </cell>
        </row>
        <row r="24">
          <cell r="K24">
            <v>5762.6500000000005</v>
          </cell>
          <cell r="L24">
            <v>21.32</v>
          </cell>
          <cell r="M24">
            <v>35385.51</v>
          </cell>
          <cell r="N24">
            <v>27308.730000000003</v>
          </cell>
          <cell r="O24">
            <v>1158.3700000000001</v>
          </cell>
          <cell r="P24">
            <v>16376.92</v>
          </cell>
          <cell r="Q24">
            <v>111456.59999999999</v>
          </cell>
          <cell r="R24">
            <v>126091.15000000001</v>
          </cell>
          <cell r="S24">
            <v>23734.199999999993</v>
          </cell>
          <cell r="T24">
            <v>7829.8899999999994</v>
          </cell>
          <cell r="U24">
            <v>8001.5300000000007</v>
          </cell>
          <cell r="V24">
            <v>36543.19</v>
          </cell>
          <cell r="W24">
            <v>9204.0500000000011</v>
          </cell>
          <cell r="X24">
            <v>23002.47</v>
          </cell>
          <cell r="Y24">
            <v>24.3</v>
          </cell>
          <cell r="Z24">
            <v>-295.04999999999995</v>
          </cell>
          <cell r="BK24">
            <v>431605.83000000007</v>
          </cell>
        </row>
        <row r="25">
          <cell r="K25">
            <v>7046.79</v>
          </cell>
          <cell r="L25">
            <v>4398.3600000000006</v>
          </cell>
          <cell r="M25">
            <v>23645.56</v>
          </cell>
          <cell r="N25">
            <v>79923.180000000008</v>
          </cell>
          <cell r="O25">
            <v>30513.199999999993</v>
          </cell>
          <cell r="P25">
            <v>99473.869999999966</v>
          </cell>
          <cell r="Q25">
            <v>188538.68999999997</v>
          </cell>
          <cell r="R25">
            <v>109605.27</v>
          </cell>
          <cell r="S25">
            <v>83368.470000000016</v>
          </cell>
          <cell r="T25">
            <v>6310.1600000000008</v>
          </cell>
          <cell r="U25">
            <v>2523.6799999999998</v>
          </cell>
          <cell r="V25">
            <v>39796.06</v>
          </cell>
          <cell r="W25">
            <v>5041.7400000000007</v>
          </cell>
          <cell r="X25">
            <v>10739.150000000001</v>
          </cell>
          <cell r="Y25">
            <v>-10444.58</v>
          </cell>
          <cell r="Z25">
            <v>508.68</v>
          </cell>
          <cell r="BK25">
            <v>680988.28000000014</v>
          </cell>
        </row>
        <row r="26">
          <cell r="M26">
            <v>1348.26</v>
          </cell>
          <cell r="N26">
            <v>3009.5700000000006</v>
          </cell>
          <cell r="O26">
            <v>16.559999999999999</v>
          </cell>
          <cell r="P26">
            <v>6.5600000000000005</v>
          </cell>
          <cell r="Q26">
            <v>6.57</v>
          </cell>
          <cell r="R26">
            <v>4.3899999999999997</v>
          </cell>
          <cell r="S26">
            <v>4.3899999999999997</v>
          </cell>
          <cell r="T26">
            <v>14.06</v>
          </cell>
          <cell r="U26">
            <v>-2846.8500000000004</v>
          </cell>
          <cell r="V26">
            <v>-1563.5099999999998</v>
          </cell>
          <cell r="BK26">
            <v>2.2737367544323206E-12</v>
          </cell>
        </row>
        <row r="27">
          <cell r="M27">
            <v>5864.74</v>
          </cell>
          <cell r="N27">
            <v>5005.4100000000008</v>
          </cell>
          <cell r="O27">
            <v>13879.279999999997</v>
          </cell>
          <cell r="P27">
            <v>22667.670000000002</v>
          </cell>
          <cell r="Q27">
            <v>5099.8799999999983</v>
          </cell>
          <cell r="R27">
            <v>122.64000000000001</v>
          </cell>
          <cell r="S27">
            <v>988.34</v>
          </cell>
          <cell r="T27">
            <v>-302.3</v>
          </cell>
          <cell r="U27">
            <v>-432.56</v>
          </cell>
          <cell r="V27">
            <v>8963.4</v>
          </cell>
          <cell r="W27">
            <v>355.49</v>
          </cell>
          <cell r="X27">
            <v>-608.54999999999995</v>
          </cell>
          <cell r="BK27">
            <v>61603.439999999995</v>
          </cell>
        </row>
        <row r="28">
          <cell r="K28">
            <v>106.08000000000001</v>
          </cell>
          <cell r="L28">
            <v>0.39</v>
          </cell>
          <cell r="M28">
            <v>10574.28</v>
          </cell>
          <cell r="N28">
            <v>6440.14</v>
          </cell>
          <cell r="O28">
            <v>4241.3</v>
          </cell>
          <cell r="P28">
            <v>22278.01</v>
          </cell>
          <cell r="Q28">
            <v>40074.44</v>
          </cell>
          <cell r="R28">
            <v>30053.29</v>
          </cell>
          <cell r="S28">
            <v>2454.0100000000002</v>
          </cell>
          <cell r="T28">
            <v>4726.62</v>
          </cell>
          <cell r="U28">
            <v>13556.579999999998</v>
          </cell>
          <cell r="V28">
            <v>26279.660000000003</v>
          </cell>
          <cell r="W28">
            <v>123.19999999999986</v>
          </cell>
          <cell r="X28">
            <v>18580.260000000002</v>
          </cell>
          <cell r="BK28">
            <v>179488.26</v>
          </cell>
        </row>
        <row r="29">
          <cell r="G29">
            <v>32614.09</v>
          </cell>
          <cell r="H29">
            <v>88.06</v>
          </cell>
          <cell r="I29">
            <v>-88.06</v>
          </cell>
          <cell r="Q29">
            <v>974.89</v>
          </cell>
          <cell r="R29">
            <v>32.57</v>
          </cell>
          <cell r="S29">
            <v>32.57</v>
          </cell>
          <cell r="T29">
            <v>-279.22000000000003</v>
          </cell>
          <cell r="BK29">
            <v>33374.9</v>
          </cell>
        </row>
        <row r="30">
          <cell r="Q30">
            <v>17702.48</v>
          </cell>
          <cell r="R30">
            <v>17.7</v>
          </cell>
          <cell r="S30">
            <v>12165.12</v>
          </cell>
          <cell r="T30">
            <v>164149.66</v>
          </cell>
          <cell r="U30">
            <v>103822.87000000001</v>
          </cell>
          <cell r="V30">
            <v>145934.98000000001</v>
          </cell>
          <cell r="W30">
            <v>79567.669999999984</v>
          </cell>
          <cell r="X30">
            <v>154262.70000000001</v>
          </cell>
          <cell r="Y30">
            <v>202163.49999999997</v>
          </cell>
          <cell r="Z30">
            <v>316988.91000000003</v>
          </cell>
          <cell r="AA30">
            <v>-6620.2300000000005</v>
          </cell>
          <cell r="AB30">
            <v>-9081.52</v>
          </cell>
          <cell r="BK30">
            <v>1181073.8400000001</v>
          </cell>
        </row>
        <row r="31">
          <cell r="H31">
            <v>18989</v>
          </cell>
          <cell r="I31">
            <v>290060.03000000003</v>
          </cell>
          <cell r="J31">
            <v>955.5</v>
          </cell>
          <cell r="K31">
            <v>172216.55000000002</v>
          </cell>
          <cell r="M31">
            <v>12221.4</v>
          </cell>
          <cell r="N31">
            <v>1359.0300000000002</v>
          </cell>
          <cell r="P31">
            <v>5310.8</v>
          </cell>
          <cell r="Q31">
            <v>9336.7900000000009</v>
          </cell>
          <cell r="S31">
            <v>-8.2600000000000016</v>
          </cell>
          <cell r="W31">
            <v>117.13</v>
          </cell>
          <cell r="X31">
            <v>-7.5900000000000007</v>
          </cell>
          <cell r="BK31">
            <v>510550.38000000006</v>
          </cell>
        </row>
        <row r="32">
          <cell r="H32">
            <v>42616.130000000005</v>
          </cell>
          <cell r="I32">
            <v>269939.44000000006</v>
          </cell>
          <cell r="J32">
            <v>44797.960000000006</v>
          </cell>
          <cell r="K32">
            <v>127875.75</v>
          </cell>
          <cell r="L32">
            <v>50435.709999999992</v>
          </cell>
          <cell r="M32">
            <v>8836.08</v>
          </cell>
          <cell r="N32">
            <v>29545.57</v>
          </cell>
          <cell r="O32">
            <v>2272.0200000000004</v>
          </cell>
          <cell r="P32">
            <v>23626.240000000002</v>
          </cell>
          <cell r="Q32">
            <v>53258.77</v>
          </cell>
          <cell r="R32">
            <v>0</v>
          </cell>
          <cell r="S32">
            <v>340.03</v>
          </cell>
          <cell r="T32">
            <v>2479.54</v>
          </cell>
          <cell r="U32">
            <v>113.97</v>
          </cell>
          <cell r="BK32">
            <v>656137.21000000008</v>
          </cell>
        </row>
        <row r="33">
          <cell r="H33">
            <v>61954.119999999995</v>
          </cell>
          <cell r="I33">
            <v>24407.509999999995</v>
          </cell>
          <cell r="J33">
            <v>122918.15000000002</v>
          </cell>
          <cell r="K33">
            <v>138350.04</v>
          </cell>
          <cell r="L33">
            <v>154466.28999999998</v>
          </cell>
          <cell r="M33">
            <v>43598.29</v>
          </cell>
          <cell r="N33">
            <v>83108.090000000011</v>
          </cell>
          <cell r="O33">
            <v>245.78999999999976</v>
          </cell>
          <cell r="P33">
            <v>25516.23</v>
          </cell>
          <cell r="Q33">
            <v>14352.230000000001</v>
          </cell>
          <cell r="R33">
            <v>257.17</v>
          </cell>
          <cell r="S33">
            <v>601.1</v>
          </cell>
          <cell r="T33">
            <v>2005.93</v>
          </cell>
          <cell r="U33">
            <v>-3016.7500000000005</v>
          </cell>
          <cell r="V33">
            <v>3563.34</v>
          </cell>
          <cell r="X33">
            <v>-1712.27</v>
          </cell>
          <cell r="BK33">
            <v>670615.26</v>
          </cell>
        </row>
        <row r="34">
          <cell r="G34">
            <v>54308.13</v>
          </cell>
          <cell r="H34">
            <v>33238.429999999993</v>
          </cell>
          <cell r="I34">
            <v>50804.560000000005</v>
          </cell>
          <cell r="J34">
            <v>76165.710000000036</v>
          </cell>
          <cell r="K34">
            <v>-31991.46</v>
          </cell>
          <cell r="L34">
            <v>13544.39</v>
          </cell>
          <cell r="M34">
            <v>35819.460000000006</v>
          </cell>
          <cell r="N34">
            <v>-1741.98</v>
          </cell>
          <cell r="P34">
            <v>9906.68</v>
          </cell>
          <cell r="Q34">
            <v>2824.65</v>
          </cell>
          <cell r="S34">
            <v>0</v>
          </cell>
          <cell r="U34">
            <v>4162.2699999999995</v>
          </cell>
          <cell r="BK34">
            <v>247040.84</v>
          </cell>
        </row>
        <row r="35">
          <cell r="I35">
            <v>71707.64</v>
          </cell>
          <cell r="J35">
            <v>42201.409999999996</v>
          </cell>
          <cell r="K35">
            <v>104351.49000000002</v>
          </cell>
          <cell r="L35">
            <v>163683.25</v>
          </cell>
          <cell r="M35">
            <v>31969.5</v>
          </cell>
          <cell r="N35">
            <v>75329.259999999995</v>
          </cell>
          <cell r="O35">
            <v>7632.3899999999994</v>
          </cell>
          <cell r="P35">
            <v>3422.34</v>
          </cell>
          <cell r="Q35">
            <v>4016.99</v>
          </cell>
          <cell r="R35">
            <v>6103.92</v>
          </cell>
          <cell r="S35">
            <v>-1923.64</v>
          </cell>
          <cell r="T35">
            <v>5546.4299999999994</v>
          </cell>
          <cell r="U35">
            <v>911.17000000000007</v>
          </cell>
          <cell r="V35">
            <v>7201.2800000000007</v>
          </cell>
          <cell r="W35">
            <v>-4918.95</v>
          </cell>
          <cell r="X35">
            <v>-2059.4899999999998</v>
          </cell>
          <cell r="BK35">
            <v>515174.99000000005</v>
          </cell>
        </row>
        <row r="36">
          <cell r="I36">
            <v>90639.489999999991</v>
          </cell>
          <cell r="J36">
            <v>25578.07</v>
          </cell>
          <cell r="K36">
            <v>48874.729999999989</v>
          </cell>
          <cell r="L36">
            <v>313801.25999999995</v>
          </cell>
          <cell r="M36">
            <v>53613.16</v>
          </cell>
          <cell r="N36">
            <v>117739.18000000001</v>
          </cell>
          <cell r="O36">
            <v>18954.399999999994</v>
          </cell>
          <cell r="P36">
            <v>46315.15</v>
          </cell>
          <cell r="Q36">
            <v>2079.42</v>
          </cell>
          <cell r="R36">
            <v>0</v>
          </cell>
          <cell r="S36">
            <v>11334.840000000002</v>
          </cell>
          <cell r="T36">
            <v>607.99</v>
          </cell>
          <cell r="U36">
            <v>21.8</v>
          </cell>
          <cell r="X36">
            <v>-2190.4499999999998</v>
          </cell>
          <cell r="Z36">
            <v>-3707.04</v>
          </cell>
          <cell r="BK36">
            <v>723662.00000000012</v>
          </cell>
        </row>
        <row r="37">
          <cell r="I37">
            <v>31678.98</v>
          </cell>
          <cell r="J37">
            <v>20505.25</v>
          </cell>
          <cell r="K37">
            <v>4716.75</v>
          </cell>
          <cell r="L37">
            <v>38292.99</v>
          </cell>
          <cell r="M37">
            <v>17352.670000000002</v>
          </cell>
          <cell r="N37">
            <v>16327.78</v>
          </cell>
          <cell r="O37">
            <v>-183.27</v>
          </cell>
          <cell r="P37">
            <v>12528.03</v>
          </cell>
          <cell r="Q37">
            <v>17967.73</v>
          </cell>
          <cell r="R37">
            <v>-263.7</v>
          </cell>
          <cell r="S37">
            <v>11123.89</v>
          </cell>
          <cell r="U37">
            <v>-11057.95</v>
          </cell>
          <cell r="BK37">
            <v>158989.14999999997</v>
          </cell>
        </row>
        <row r="38">
          <cell r="H38">
            <v>1567.8000000000002</v>
          </cell>
          <cell r="I38">
            <v>37452.140000000007</v>
          </cell>
          <cell r="J38">
            <v>21672.74</v>
          </cell>
          <cell r="K38">
            <v>-37883.14</v>
          </cell>
          <cell r="M38">
            <v>2302.0500000000002</v>
          </cell>
          <cell r="N38">
            <v>1123.48</v>
          </cell>
          <cell r="P38">
            <v>612.79999999999995</v>
          </cell>
          <cell r="R38">
            <v>0</v>
          </cell>
          <cell r="V38">
            <v>1311.06</v>
          </cell>
          <cell r="BK38">
            <v>28158.930000000008</v>
          </cell>
        </row>
        <row r="39">
          <cell r="J39">
            <v>912.96</v>
          </cell>
          <cell r="K39">
            <v>2.46</v>
          </cell>
          <cell r="L39">
            <v>1719.2799999999997</v>
          </cell>
          <cell r="M39">
            <v>1919.66</v>
          </cell>
          <cell r="N39">
            <v>9521.7900000000009</v>
          </cell>
          <cell r="O39">
            <v>53.49</v>
          </cell>
          <cell r="P39">
            <v>-112.51</v>
          </cell>
          <cell r="R39">
            <v>-645.55999999999995</v>
          </cell>
          <cell r="S39">
            <v>3311.6400000000003</v>
          </cell>
          <cell r="BK39">
            <v>16683.210000000003</v>
          </cell>
        </row>
        <row r="40">
          <cell r="J40">
            <v>8506.2199999999993</v>
          </cell>
          <cell r="K40">
            <v>1663.47</v>
          </cell>
          <cell r="L40">
            <v>38354.080000000009</v>
          </cell>
          <cell r="M40">
            <v>29406.29</v>
          </cell>
          <cell r="N40">
            <v>1388.4299999999998</v>
          </cell>
          <cell r="P40">
            <v>-127.35000000000001</v>
          </cell>
          <cell r="R40">
            <v>-669.64</v>
          </cell>
          <cell r="S40">
            <v>13744.73</v>
          </cell>
          <cell r="V40">
            <v>319.58</v>
          </cell>
          <cell r="BK40">
            <v>92585.809999999983</v>
          </cell>
        </row>
        <row r="41">
          <cell r="J41">
            <v>10211.390000000001</v>
          </cell>
          <cell r="K41">
            <v>661.92</v>
          </cell>
          <cell r="L41">
            <v>11741.97</v>
          </cell>
          <cell r="M41">
            <v>35998.910000000011</v>
          </cell>
          <cell r="N41">
            <v>21279.339999999997</v>
          </cell>
          <cell r="O41">
            <v>92.69</v>
          </cell>
          <cell r="P41">
            <v>1758.01</v>
          </cell>
          <cell r="Q41">
            <v>20439.250000000004</v>
          </cell>
          <cell r="R41">
            <v>-527.13</v>
          </cell>
          <cell r="S41">
            <v>12416.14</v>
          </cell>
          <cell r="T41">
            <v>1444.19</v>
          </cell>
          <cell r="V41">
            <v>710.4</v>
          </cell>
          <cell r="Z41">
            <v>-942.47</v>
          </cell>
          <cell r="BK41">
            <v>115284.60999999999</v>
          </cell>
        </row>
        <row r="42">
          <cell r="J42">
            <v>6948.59</v>
          </cell>
          <cell r="K42">
            <v>1533.02</v>
          </cell>
          <cell r="L42">
            <v>25004.989999999998</v>
          </cell>
          <cell r="M42">
            <v>33388.93</v>
          </cell>
          <cell r="N42">
            <v>13025.899999999998</v>
          </cell>
          <cell r="P42">
            <v>-103.22</v>
          </cell>
          <cell r="R42">
            <v>-327.9</v>
          </cell>
          <cell r="S42">
            <v>340.03</v>
          </cell>
          <cell r="Z42">
            <v>-1014.0799999999999</v>
          </cell>
          <cell r="BK42">
            <v>78796.259999999995</v>
          </cell>
        </row>
        <row r="43">
          <cell r="K43">
            <v>14890.76</v>
          </cell>
          <cell r="L43">
            <v>71796.340000000026</v>
          </cell>
          <cell r="M43">
            <v>193578.04</v>
          </cell>
          <cell r="N43">
            <v>308150.8</v>
          </cell>
          <cell r="O43">
            <v>6508.1499999999987</v>
          </cell>
          <cell r="P43">
            <v>13251.53</v>
          </cell>
          <cell r="Q43">
            <v>91599.41</v>
          </cell>
          <cell r="R43">
            <v>472.59999999999997</v>
          </cell>
          <cell r="S43">
            <v>47070.12000000001</v>
          </cell>
          <cell r="T43">
            <v>11307.75</v>
          </cell>
          <cell r="U43">
            <v>1739.4199999999998</v>
          </cell>
          <cell r="V43">
            <v>929.93000000000006</v>
          </cell>
          <cell r="W43">
            <v>-6138.37</v>
          </cell>
          <cell r="Z43">
            <v>-1231.3900000000001</v>
          </cell>
          <cell r="AA43">
            <v>6476.87</v>
          </cell>
          <cell r="BK43">
            <v>760401.96000000008</v>
          </cell>
        </row>
        <row r="44">
          <cell r="K44">
            <v>8780.4600000000009</v>
          </cell>
          <cell r="L44">
            <v>49406.57</v>
          </cell>
          <cell r="M44">
            <v>79428.210000000006</v>
          </cell>
          <cell r="N44">
            <v>208913.71</v>
          </cell>
          <cell r="O44">
            <v>25227.879999999997</v>
          </cell>
          <cell r="P44">
            <v>87770.640000000014</v>
          </cell>
          <cell r="Q44">
            <v>82074.110000000015</v>
          </cell>
          <cell r="R44">
            <v>25958.329999999998</v>
          </cell>
          <cell r="S44">
            <v>66041.69</v>
          </cell>
          <cell r="T44">
            <v>31331</v>
          </cell>
          <cell r="U44">
            <v>17064.59</v>
          </cell>
          <cell r="V44">
            <v>-1501.9300000000005</v>
          </cell>
          <cell r="W44">
            <v>5.9300000000000006</v>
          </cell>
          <cell r="X44">
            <v>-5092.3900000000003</v>
          </cell>
          <cell r="Y44">
            <v>-1095</v>
          </cell>
          <cell r="Z44">
            <v>-5968.97</v>
          </cell>
          <cell r="BK44">
            <v>668344.82999999984</v>
          </cell>
        </row>
        <row r="45">
          <cell r="K45">
            <v>9853.4500000000007</v>
          </cell>
          <cell r="L45">
            <v>47651.81</v>
          </cell>
          <cell r="M45">
            <v>14672.590000000002</v>
          </cell>
          <cell r="N45">
            <v>211706.18</v>
          </cell>
          <cell r="O45">
            <v>23187.479999999996</v>
          </cell>
          <cell r="P45">
            <v>65486.55000000001</v>
          </cell>
          <cell r="Q45">
            <v>190645.12999999998</v>
          </cell>
          <cell r="R45">
            <v>153492.66</v>
          </cell>
          <cell r="S45">
            <v>24240.120000000003</v>
          </cell>
          <cell r="T45">
            <v>87693.21</v>
          </cell>
          <cell r="U45">
            <v>7889.2400000000007</v>
          </cell>
          <cell r="V45">
            <v>-3288.7799999999997</v>
          </cell>
          <cell r="W45">
            <v>560.86000000000013</v>
          </cell>
          <cell r="X45">
            <v>-5666.16</v>
          </cell>
          <cell r="Z45">
            <v>-7728.24</v>
          </cell>
          <cell r="AA45">
            <v>-208.15</v>
          </cell>
          <cell r="BK45">
            <v>820187.94999999984</v>
          </cell>
        </row>
        <row r="46">
          <cell r="P46">
            <v>12839.48</v>
          </cell>
          <cell r="Q46">
            <v>36267.35</v>
          </cell>
          <cell r="R46">
            <v>33315.94</v>
          </cell>
          <cell r="S46">
            <v>3979.14</v>
          </cell>
          <cell r="T46">
            <v>138.97</v>
          </cell>
          <cell r="Z46">
            <v>9501.2300000000014</v>
          </cell>
          <cell r="AG46">
            <v>-121.77</v>
          </cell>
          <cell r="BK46">
            <v>95920.34</v>
          </cell>
        </row>
        <row r="47">
          <cell r="P47">
            <v>37803.240000000005</v>
          </cell>
          <cell r="Q47">
            <v>28068.75</v>
          </cell>
          <cell r="R47">
            <v>172042.6400000001</v>
          </cell>
          <cell r="S47">
            <v>240405.77</v>
          </cell>
          <cell r="T47">
            <v>108197.85999999999</v>
          </cell>
          <cell r="U47">
            <v>63295.640000000021</v>
          </cell>
          <cell r="V47">
            <v>64115.170000000013</v>
          </cell>
          <cell r="W47">
            <v>28835.18</v>
          </cell>
          <cell r="X47">
            <v>107826.84</v>
          </cell>
          <cell r="Y47">
            <v>11340.9</v>
          </cell>
          <cell r="Z47">
            <v>31346.859999999997</v>
          </cell>
          <cell r="AA47">
            <v>8910.32</v>
          </cell>
          <cell r="BK47">
            <v>902189.17000000016</v>
          </cell>
        </row>
        <row r="48">
          <cell r="K48">
            <v>5943.5900000000011</v>
          </cell>
          <cell r="L48">
            <v>19950.829999999998</v>
          </cell>
          <cell r="M48">
            <v>19278.110000000004</v>
          </cell>
          <cell r="N48">
            <v>103484.25000000001</v>
          </cell>
          <cell r="O48">
            <v>1180.5600000000002</v>
          </cell>
          <cell r="P48">
            <v>34846.36</v>
          </cell>
          <cell r="Q48">
            <v>5974.52</v>
          </cell>
          <cell r="R48">
            <v>-367.23</v>
          </cell>
          <cell r="S48">
            <v>962.26</v>
          </cell>
          <cell r="T48">
            <v>9695.9900000000016</v>
          </cell>
          <cell r="W48">
            <v>1010.4899999999999</v>
          </cell>
          <cell r="AH48">
            <v>2311.17</v>
          </cell>
          <cell r="BK48">
            <v>204270.9</v>
          </cell>
        </row>
        <row r="49">
          <cell r="G49">
            <v>30487.62</v>
          </cell>
          <cell r="H49">
            <v>80728.13</v>
          </cell>
          <cell r="I49">
            <v>1566.38</v>
          </cell>
          <cell r="J49">
            <v>4707.82</v>
          </cell>
          <cell r="K49">
            <v>1432.32</v>
          </cell>
          <cell r="L49">
            <v>17303.580000000002</v>
          </cell>
          <cell r="M49">
            <v>19725.5</v>
          </cell>
          <cell r="N49">
            <v>-351.98000000000008</v>
          </cell>
          <cell r="BK49">
            <v>155599.37000000002</v>
          </cell>
        </row>
        <row r="50">
          <cell r="Q50">
            <v>40098.35</v>
          </cell>
          <cell r="R50">
            <v>124428.40000000001</v>
          </cell>
          <cell r="S50">
            <v>138729.69</v>
          </cell>
          <cell r="T50">
            <v>107659.13999999998</v>
          </cell>
          <cell r="U50">
            <v>26722.210000000006</v>
          </cell>
          <cell r="V50">
            <v>-1237.8800000000001</v>
          </cell>
          <cell r="W50">
            <v>25983.51</v>
          </cell>
          <cell r="X50">
            <v>45548.270000000004</v>
          </cell>
          <cell r="Y50">
            <v>2431.2600000000002</v>
          </cell>
          <cell r="Z50">
            <v>-5593.5400000000009</v>
          </cell>
          <cell r="AC50">
            <v>164.31</v>
          </cell>
          <cell r="BK50">
            <v>504933.72000000003</v>
          </cell>
        </row>
        <row r="51">
          <cell r="J51">
            <v>30460.240000000002</v>
          </cell>
          <cell r="K51">
            <v>28570.149999999998</v>
          </cell>
          <cell r="L51">
            <v>55161.279999999999</v>
          </cell>
          <cell r="M51">
            <v>36399.99</v>
          </cell>
          <cell r="N51">
            <v>360616.73</v>
          </cell>
          <cell r="O51">
            <v>150373.04</v>
          </cell>
          <cell r="P51">
            <v>123093.38000000002</v>
          </cell>
          <cell r="Q51">
            <v>251108.13000000003</v>
          </cell>
          <cell r="R51">
            <v>84464.849999999991</v>
          </cell>
          <cell r="S51">
            <v>18510.120000000003</v>
          </cell>
          <cell r="T51">
            <v>25683.010000000002</v>
          </cell>
          <cell r="U51">
            <v>8736.69</v>
          </cell>
          <cell r="V51">
            <v>51654.2</v>
          </cell>
          <cell r="W51">
            <v>4990.7599999999993</v>
          </cell>
          <cell r="X51">
            <v>139323.35</v>
          </cell>
          <cell r="Z51">
            <v>-2852.37</v>
          </cell>
          <cell r="AG51">
            <v>1015.2399999999999</v>
          </cell>
          <cell r="AH51">
            <v>-1072.3600000000001</v>
          </cell>
          <cell r="BK51">
            <v>1366236.43</v>
          </cell>
        </row>
        <row r="52">
          <cell r="J52">
            <v>46120.12</v>
          </cell>
          <cell r="K52">
            <v>8916.74</v>
          </cell>
          <cell r="L52">
            <v>93127.670000000013</v>
          </cell>
          <cell r="M52">
            <v>199891.74999999997</v>
          </cell>
          <cell r="N52">
            <v>363051.41000000003</v>
          </cell>
          <cell r="O52">
            <v>9514.3900000000012</v>
          </cell>
          <cell r="P52">
            <v>13771.230000000001</v>
          </cell>
          <cell r="Q52">
            <v>17237.11</v>
          </cell>
          <cell r="R52">
            <v>984.87</v>
          </cell>
          <cell r="S52">
            <v>5710.8</v>
          </cell>
          <cell r="T52">
            <v>2662.29</v>
          </cell>
          <cell r="U52">
            <v>14597.18</v>
          </cell>
          <cell r="V52">
            <v>950.66000000000008</v>
          </cell>
          <cell r="W52">
            <v>-6353.32</v>
          </cell>
          <cell r="Z52">
            <v>-7979.5599999999995</v>
          </cell>
          <cell r="AB52">
            <v>1090.99</v>
          </cell>
          <cell r="AC52">
            <v>-18506.260000000002</v>
          </cell>
          <cell r="BK52">
            <v>744788.07000000018</v>
          </cell>
        </row>
        <row r="53">
          <cell r="K53">
            <v>1050.26</v>
          </cell>
          <cell r="L53">
            <v>606.1400000000001</v>
          </cell>
          <cell r="M53">
            <v>1616.71</v>
          </cell>
          <cell r="N53">
            <v>13464.45</v>
          </cell>
          <cell r="O53">
            <v>232.20999999999998</v>
          </cell>
          <cell r="P53">
            <v>4926.1000000000004</v>
          </cell>
          <cell r="Q53">
            <v>2723.5299999999997</v>
          </cell>
          <cell r="R53">
            <v>24.62</v>
          </cell>
          <cell r="S53">
            <v>24.64</v>
          </cell>
          <cell r="T53">
            <v>2260.86</v>
          </cell>
          <cell r="U53">
            <v>78.09</v>
          </cell>
          <cell r="V53">
            <v>64.63</v>
          </cell>
          <cell r="W53">
            <v>70.02</v>
          </cell>
          <cell r="X53">
            <v>-63.92</v>
          </cell>
          <cell r="Y53">
            <v>-521.09</v>
          </cell>
          <cell r="BK53">
            <v>26557.250000000004</v>
          </cell>
        </row>
        <row r="54">
          <cell r="K54">
            <v>2238.81</v>
          </cell>
          <cell r="L54">
            <v>8095.0599999999995</v>
          </cell>
          <cell r="M54">
            <v>8399.9500000000007</v>
          </cell>
          <cell r="N54">
            <v>50534.970000000008</v>
          </cell>
          <cell r="O54">
            <v>103.52</v>
          </cell>
          <cell r="P54">
            <v>5746.96</v>
          </cell>
          <cell r="Q54">
            <v>1202.49</v>
          </cell>
          <cell r="R54">
            <v>-21.330000000000002</v>
          </cell>
          <cell r="S54">
            <v>888.34</v>
          </cell>
          <cell r="T54">
            <v>1272.04</v>
          </cell>
          <cell r="U54">
            <v>3345.08</v>
          </cell>
          <cell r="X54">
            <v>-2601.2600000000002</v>
          </cell>
          <cell r="BK54">
            <v>79204.630000000019</v>
          </cell>
        </row>
        <row r="55">
          <cell r="Q55">
            <v>1672.14</v>
          </cell>
          <cell r="R55">
            <v>1.67</v>
          </cell>
          <cell r="S55">
            <v>1.67</v>
          </cell>
          <cell r="T55">
            <v>12808.64</v>
          </cell>
          <cell r="U55">
            <v>797.85</v>
          </cell>
          <cell r="W55">
            <v>3310.2400000000002</v>
          </cell>
          <cell r="AA55">
            <v>2550.0500000000002</v>
          </cell>
          <cell r="AB55">
            <v>588.84</v>
          </cell>
          <cell r="AC55">
            <v>77102.55</v>
          </cell>
          <cell r="AD55">
            <v>136103.53</v>
          </cell>
          <cell r="AE55">
            <v>81159.51999999999</v>
          </cell>
          <cell r="AF55">
            <v>18514.03</v>
          </cell>
          <cell r="AG55">
            <v>1752.98</v>
          </cell>
          <cell r="AH55">
            <v>18863.03</v>
          </cell>
          <cell r="AI55">
            <v>7419.9699999999993</v>
          </cell>
          <cell r="AJ55">
            <v>60852.44</v>
          </cell>
          <cell r="AK55">
            <v>63068.36</v>
          </cell>
          <cell r="AL55">
            <v>33685.700000000004</v>
          </cell>
          <cell r="AM55">
            <v>-4920.1000000000004</v>
          </cell>
          <cell r="AO55">
            <v>1122.98</v>
          </cell>
          <cell r="BK55">
            <v>516456.08999999997</v>
          </cell>
        </row>
        <row r="56">
          <cell r="W56">
            <v>21558.62</v>
          </cell>
          <cell r="X56">
            <v>38.81</v>
          </cell>
          <cell r="Y56">
            <v>71.28</v>
          </cell>
          <cell r="Z56">
            <v>199.29000000000002</v>
          </cell>
          <cell r="AA56">
            <v>4072.8300000000004</v>
          </cell>
          <cell r="AB56">
            <v>181.57999999999998</v>
          </cell>
          <cell r="AC56">
            <v>182.86</v>
          </cell>
          <cell r="AD56">
            <v>80520.810000000012</v>
          </cell>
          <cell r="AE56">
            <v>130706.65</v>
          </cell>
          <cell r="AF56">
            <v>127847.48000000001</v>
          </cell>
          <cell r="AG56">
            <v>169270.99</v>
          </cell>
          <cell r="AH56">
            <v>128043.08</v>
          </cell>
          <cell r="AI56">
            <v>246668.40000000002</v>
          </cell>
          <cell r="AJ56">
            <v>90690.32</v>
          </cell>
          <cell r="AK56">
            <v>989.9</v>
          </cell>
          <cell r="AL56">
            <v>-12202.88</v>
          </cell>
          <cell r="BK56">
            <v>988840.02</v>
          </cell>
        </row>
        <row r="57">
          <cell r="AA57">
            <v>22941.55</v>
          </cell>
          <cell r="AB57">
            <v>160.59</v>
          </cell>
          <cell r="AC57">
            <v>80.86</v>
          </cell>
          <cell r="AD57">
            <v>162.28</v>
          </cell>
          <cell r="AE57">
            <v>5.84</v>
          </cell>
          <cell r="AF57">
            <v>4.67</v>
          </cell>
          <cell r="AN57">
            <v>11.68</v>
          </cell>
          <cell r="AO57">
            <v>87831.65</v>
          </cell>
          <cell r="AP57">
            <v>69360.429999999993</v>
          </cell>
          <cell r="AQ57">
            <v>69617.430000000008</v>
          </cell>
          <cell r="AR57">
            <v>34051.280000000006</v>
          </cell>
          <cell r="AS57">
            <v>34517.08</v>
          </cell>
          <cell r="AT57">
            <v>15514.279999999999</v>
          </cell>
          <cell r="AU57">
            <v>28299.98</v>
          </cell>
          <cell r="AV57">
            <v>20825.080000000002</v>
          </cell>
          <cell r="AW57">
            <v>85218.4</v>
          </cell>
          <cell r="AX57">
            <v>60598.960000000006</v>
          </cell>
          <cell r="AY57">
            <v>-870.07999999999993</v>
          </cell>
          <cell r="AZ57">
            <v>-1637.8300000000002</v>
          </cell>
          <cell r="BE57">
            <v>-4937.54</v>
          </cell>
          <cell r="BK57">
            <v>521756.59</v>
          </cell>
        </row>
        <row r="58">
          <cell r="T58">
            <v>32.03</v>
          </cell>
          <cell r="U58">
            <v>0.09</v>
          </cell>
          <cell r="V58">
            <v>0.08</v>
          </cell>
          <cell r="W58">
            <v>17834.150000000001</v>
          </cell>
          <cell r="AA58">
            <v>1176.55</v>
          </cell>
          <cell r="AO58">
            <v>55545.490000000005</v>
          </cell>
          <cell r="AP58">
            <v>27292.58</v>
          </cell>
          <cell r="AQ58">
            <v>529.11</v>
          </cell>
          <cell r="AR58">
            <v>86536.45</v>
          </cell>
          <cell r="AS58">
            <v>59243.470000000008</v>
          </cell>
          <cell r="AT58">
            <v>117103.92</v>
          </cell>
          <cell r="AU58">
            <v>97202.489999999991</v>
          </cell>
          <cell r="AV58">
            <v>50831.099999999984</v>
          </cell>
          <cell r="AW58">
            <v>148869.97999999998</v>
          </cell>
          <cell r="AX58">
            <v>108029.43000000001</v>
          </cell>
          <cell r="AY58">
            <v>-12054.75</v>
          </cell>
          <cell r="AZ58">
            <v>-7848.1799999999994</v>
          </cell>
          <cell r="BE58">
            <v>4937.54</v>
          </cell>
          <cell r="BK58">
            <v>755261.53</v>
          </cell>
        </row>
        <row r="59">
          <cell r="T59">
            <v>9963.59</v>
          </cell>
          <cell r="U59">
            <v>28.900000000000002</v>
          </cell>
          <cell r="W59">
            <v>1265.3999999999999</v>
          </cell>
          <cell r="Y59">
            <v>343.47</v>
          </cell>
          <cell r="AA59">
            <v>3758.4500000000003</v>
          </cell>
          <cell r="AR59">
            <v>2227.8000000000002</v>
          </cell>
          <cell r="AS59">
            <v>24644.53</v>
          </cell>
          <cell r="AT59">
            <v>89642.810000000012</v>
          </cell>
          <cell r="AU59">
            <v>70605.959999999992</v>
          </cell>
          <cell r="AV59">
            <v>303.72000000000003</v>
          </cell>
          <cell r="AW59">
            <v>37020.450000000004</v>
          </cell>
          <cell r="AX59">
            <v>41112.320000000007</v>
          </cell>
          <cell r="AY59">
            <v>-4028.8900000000003</v>
          </cell>
          <cell r="BE59">
            <v>-6087.1100000000006</v>
          </cell>
          <cell r="BK59">
            <v>270801.40000000002</v>
          </cell>
        </row>
        <row r="60">
          <cell r="R60">
            <v>243.87</v>
          </cell>
          <cell r="S60">
            <v>66595.76999999999</v>
          </cell>
          <cell r="T60">
            <v>78689.590000000011</v>
          </cell>
          <cell r="U60">
            <v>67210.37999999999</v>
          </cell>
          <cell r="V60">
            <v>53214.2</v>
          </cell>
          <cell r="W60">
            <v>53734.150000000009</v>
          </cell>
          <cell r="X60">
            <v>44241.62</v>
          </cell>
          <cell r="Y60">
            <v>32712.550000000007</v>
          </cell>
          <cell r="Z60">
            <v>27368.170000000002</v>
          </cell>
          <cell r="AA60">
            <v>-811.3</v>
          </cell>
          <cell r="BK60">
            <v>423199</v>
          </cell>
        </row>
        <row r="61">
          <cell r="R61">
            <v>40939.579999999994</v>
          </cell>
          <cell r="S61">
            <v>43945.490000000005</v>
          </cell>
          <cell r="T61">
            <v>42017.530000000013</v>
          </cell>
          <cell r="U61">
            <v>34839.61</v>
          </cell>
          <cell r="V61">
            <v>30878.759999999991</v>
          </cell>
          <cell r="W61">
            <v>60977.87</v>
          </cell>
          <cell r="X61">
            <v>23205.949999999997</v>
          </cell>
          <cell r="Y61">
            <v>4236.6400000000003</v>
          </cell>
          <cell r="Z61">
            <v>290.06000000000051</v>
          </cell>
          <cell r="AB61">
            <v>1302.7</v>
          </cell>
          <cell r="BK61">
            <v>282634.19</v>
          </cell>
        </row>
        <row r="62">
          <cell r="AA62">
            <v>8041.9600000000009</v>
          </cell>
          <cell r="AB62">
            <v>56.29</v>
          </cell>
          <cell r="AC62">
            <v>28.34</v>
          </cell>
          <cell r="AD62">
            <v>56.89</v>
          </cell>
          <cell r="AE62">
            <v>2.0499999999999998</v>
          </cell>
          <cell r="AN62">
            <v>4.09</v>
          </cell>
          <cell r="AO62">
            <v>4.09</v>
          </cell>
          <cell r="AP62">
            <v>4.0999999999999996</v>
          </cell>
          <cell r="AQ62">
            <v>7.38</v>
          </cell>
          <cell r="AR62">
            <v>32625.05</v>
          </cell>
          <cell r="AS62">
            <v>21695.199999999993</v>
          </cell>
          <cell r="AT62">
            <v>39134.870000000003</v>
          </cell>
          <cell r="AU62">
            <v>20324.659999999996</v>
          </cell>
          <cell r="AV62">
            <v>6159.7100000000009</v>
          </cell>
          <cell r="AW62">
            <v>2119.23</v>
          </cell>
          <cell r="AX62">
            <v>14664.349999999999</v>
          </cell>
          <cell r="AY62">
            <v>1252.8900000000001</v>
          </cell>
          <cell r="AZ62">
            <v>1024.94</v>
          </cell>
          <cell r="BB62">
            <v>2119.7200000000003</v>
          </cell>
          <cell r="BF62">
            <v>969.47</v>
          </cell>
          <cell r="BJ62">
            <v>0</v>
          </cell>
          <cell r="BK62">
            <v>150295.28000000003</v>
          </cell>
        </row>
        <row r="63">
          <cell r="T63">
            <v>2020.1200000000001</v>
          </cell>
          <cell r="U63">
            <v>3955.6100000000006</v>
          </cell>
          <cell r="W63">
            <v>1290.72</v>
          </cell>
          <cell r="AA63">
            <v>4392.78</v>
          </cell>
          <cell r="AB63">
            <v>24312.260000000002</v>
          </cell>
          <cell r="AC63">
            <v>49046.35</v>
          </cell>
          <cell r="AD63">
            <v>62293.090000000004</v>
          </cell>
          <cell r="AE63">
            <v>30403.809999999998</v>
          </cell>
          <cell r="AF63">
            <v>31444.93</v>
          </cell>
          <cell r="AG63">
            <v>38113.51999999999</v>
          </cell>
          <cell r="AH63">
            <v>0</v>
          </cell>
          <cell r="AI63">
            <v>32021.65</v>
          </cell>
          <cell r="AJ63">
            <v>18.14</v>
          </cell>
          <cell r="AL63">
            <v>1358.18</v>
          </cell>
          <cell r="BK63">
            <v>280671.15999999997</v>
          </cell>
        </row>
        <row r="64">
          <cell r="AA64">
            <v>21521.550000000003</v>
          </cell>
          <cell r="AB64">
            <v>150.65</v>
          </cell>
          <cell r="AC64">
            <v>75.849999999999994</v>
          </cell>
          <cell r="AD64">
            <v>152.24</v>
          </cell>
          <cell r="AE64">
            <v>5.48</v>
          </cell>
          <cell r="AF64">
            <v>4.38</v>
          </cell>
          <cell r="BK64">
            <v>21910.150000000005</v>
          </cell>
        </row>
        <row r="65">
          <cell r="AA65">
            <v>20161.02</v>
          </cell>
          <cell r="AB65">
            <v>141.12</v>
          </cell>
          <cell r="AC65">
            <v>71.06</v>
          </cell>
          <cell r="AD65">
            <v>142.61000000000001</v>
          </cell>
          <cell r="AE65">
            <v>5.13</v>
          </cell>
          <cell r="AF65">
            <v>8.2100000000000009</v>
          </cell>
          <cell r="BK65">
            <v>20529.150000000001</v>
          </cell>
        </row>
        <row r="66">
          <cell r="S66">
            <v>6718.49</v>
          </cell>
          <cell r="T66">
            <v>77117.64999999998</v>
          </cell>
          <cell r="U66">
            <v>111822.41</v>
          </cell>
          <cell r="V66">
            <v>111499.53000000003</v>
          </cell>
          <cell r="W66">
            <v>148804.91000000003</v>
          </cell>
          <cell r="X66">
            <v>147509.96000000002</v>
          </cell>
          <cell r="Y66">
            <v>142710.97999999998</v>
          </cell>
          <cell r="Z66">
            <v>-610.60000000000014</v>
          </cell>
          <cell r="AA66">
            <v>4010.2000000000003</v>
          </cell>
          <cell r="AB66">
            <v>-13194.710000000001</v>
          </cell>
          <cell r="AC66">
            <v>-100.18</v>
          </cell>
          <cell r="BK66">
            <v>736288.64</v>
          </cell>
        </row>
        <row r="67">
          <cell r="X67">
            <v>164.71</v>
          </cell>
          <cell r="Y67">
            <v>0.55000000000000004</v>
          </cell>
          <cell r="Z67">
            <v>1.52</v>
          </cell>
          <cell r="AA67">
            <v>31813.77</v>
          </cell>
          <cell r="AB67">
            <v>223.86</v>
          </cell>
          <cell r="AC67">
            <v>112.72</v>
          </cell>
          <cell r="AD67">
            <v>226.22000000000003</v>
          </cell>
          <cell r="AE67">
            <v>8.14</v>
          </cell>
          <cell r="AF67">
            <v>13.02</v>
          </cell>
          <cell r="BK67">
            <v>32564.510000000002</v>
          </cell>
        </row>
        <row r="68">
          <cell r="T68">
            <v>12430.26</v>
          </cell>
          <cell r="U68">
            <v>683.27</v>
          </cell>
          <cell r="V68">
            <v>16.170000000000002</v>
          </cell>
          <cell r="W68">
            <v>3089.3599999999997</v>
          </cell>
          <cell r="AA68">
            <v>728.94</v>
          </cell>
          <cell r="AC68">
            <v>600.4</v>
          </cell>
          <cell r="AO68">
            <v>13366.850000000002</v>
          </cell>
          <cell r="AP68">
            <v>15160.83</v>
          </cell>
          <cell r="AQ68">
            <v>16557.11</v>
          </cell>
          <cell r="AR68">
            <v>17101.320000000003</v>
          </cell>
          <cell r="AS68">
            <v>51169.409999999996</v>
          </cell>
          <cell r="AT68">
            <v>35183.450000000004</v>
          </cell>
          <cell r="AU68">
            <v>81171.300000000017</v>
          </cell>
          <cell r="AV68">
            <v>51377.83</v>
          </cell>
          <cell r="AW68">
            <v>27792.190000000002</v>
          </cell>
          <cell r="AX68">
            <v>15017.859999999999</v>
          </cell>
          <cell r="AY68">
            <v>5840.3600000000006</v>
          </cell>
          <cell r="AZ68">
            <v>4326.51</v>
          </cell>
          <cell r="BA68">
            <v>3231.78</v>
          </cell>
          <cell r="BB68">
            <v>7168.05</v>
          </cell>
          <cell r="BC68">
            <v>3340.55</v>
          </cell>
          <cell r="BD68">
            <v>14141.9</v>
          </cell>
          <cell r="BK68">
            <v>379495.70000000007</v>
          </cell>
        </row>
        <row r="69">
          <cell r="Q69">
            <v>39462.550000000003</v>
          </cell>
          <cell r="R69">
            <v>67019.180000000022</v>
          </cell>
          <cell r="S69">
            <v>214713.46999999997</v>
          </cell>
          <cell r="T69">
            <v>125529.95999999998</v>
          </cell>
          <cell r="U69">
            <v>20632.750000000004</v>
          </cell>
          <cell r="V69">
            <v>27283.05</v>
          </cell>
          <cell r="W69">
            <v>6234.23</v>
          </cell>
          <cell r="X69">
            <v>1771.68</v>
          </cell>
          <cell r="Y69">
            <v>-6110.49</v>
          </cell>
          <cell r="BK69">
            <v>496536.37999999995</v>
          </cell>
        </row>
        <row r="70">
          <cell r="S70">
            <v>1560.19</v>
          </cell>
          <cell r="T70">
            <v>13466.210000000001</v>
          </cell>
          <cell r="U70">
            <v>2297.33</v>
          </cell>
          <cell r="V70">
            <v>41.58</v>
          </cell>
          <cell r="W70">
            <v>2500.44</v>
          </cell>
          <cell r="X70">
            <v>429</v>
          </cell>
          <cell r="Y70">
            <v>328.5</v>
          </cell>
          <cell r="AA70">
            <v>680.24</v>
          </cell>
          <cell r="AC70">
            <v>52220.170000000006</v>
          </cell>
          <cell r="AD70">
            <v>123597.65000000002</v>
          </cell>
          <cell r="AE70">
            <v>78001.63</v>
          </cell>
          <cell r="AF70">
            <v>30998.75</v>
          </cell>
          <cell r="AG70">
            <v>109706.82</v>
          </cell>
          <cell r="AH70">
            <v>50783.580000000009</v>
          </cell>
          <cell r="AI70">
            <v>33592.149999999994</v>
          </cell>
          <cell r="AJ70">
            <v>4813.22</v>
          </cell>
          <cell r="AO70">
            <v>-7657.2100000000009</v>
          </cell>
          <cell r="AQ70">
            <v>-441.37</v>
          </cell>
          <cell r="BK70">
            <v>496918.88000000006</v>
          </cell>
        </row>
        <row r="71">
          <cell r="S71">
            <v>3331.17</v>
          </cell>
          <cell r="T71">
            <v>141670.65000000002</v>
          </cell>
          <cell r="U71">
            <v>63765.770000000011</v>
          </cell>
          <cell r="V71">
            <v>64022.37</v>
          </cell>
          <cell r="W71">
            <v>48082.079999999994</v>
          </cell>
          <cell r="X71">
            <v>91516.34</v>
          </cell>
          <cell r="Y71">
            <v>100455.75000000001</v>
          </cell>
          <cell r="Z71">
            <v>280957.73000000004</v>
          </cell>
          <cell r="AA71">
            <v>-7437.97</v>
          </cell>
          <cell r="BK71">
            <v>786363.89000000013</v>
          </cell>
        </row>
        <row r="72">
          <cell r="AA72">
            <v>40872.47</v>
          </cell>
          <cell r="AB72">
            <v>286.11</v>
          </cell>
          <cell r="AC72">
            <v>-560.44000000000005</v>
          </cell>
          <cell r="AD72">
            <v>284.19</v>
          </cell>
          <cell r="AE72">
            <v>10.220000000000001</v>
          </cell>
          <cell r="AF72">
            <v>16.36</v>
          </cell>
          <cell r="BK72">
            <v>40908.910000000003</v>
          </cell>
        </row>
        <row r="73">
          <cell r="AA73">
            <v>10414.65</v>
          </cell>
          <cell r="AB73">
            <v>72.91</v>
          </cell>
          <cell r="AC73">
            <v>36.71</v>
          </cell>
          <cell r="AD73">
            <v>73.67</v>
          </cell>
          <cell r="AE73">
            <v>2.65</v>
          </cell>
          <cell r="AF73">
            <v>2.12</v>
          </cell>
          <cell r="AN73">
            <v>5.3</v>
          </cell>
          <cell r="AO73">
            <v>24049.56</v>
          </cell>
          <cell r="AP73">
            <v>12983.890000000001</v>
          </cell>
          <cell r="AQ73">
            <v>103343.97</v>
          </cell>
          <cell r="AR73">
            <v>83334.06</v>
          </cell>
          <cell r="AS73">
            <v>43694.469999999994</v>
          </cell>
          <cell r="AT73">
            <v>2212.33</v>
          </cell>
          <cell r="AU73">
            <v>3350.51</v>
          </cell>
          <cell r="AV73">
            <v>260</v>
          </cell>
          <cell r="AW73">
            <v>50639.210000000006</v>
          </cell>
          <cell r="AX73">
            <v>36235.08</v>
          </cell>
          <cell r="BK73">
            <v>370711.09</v>
          </cell>
        </row>
        <row r="74">
          <cell r="T74">
            <v>24272.579999999998</v>
          </cell>
          <cell r="U74">
            <v>2444.54</v>
          </cell>
          <cell r="X74">
            <v>-340.06</v>
          </cell>
          <cell r="AB74">
            <v>503.58</v>
          </cell>
          <cell r="AD74">
            <v>5252.94</v>
          </cell>
          <cell r="AE74">
            <v>39979.469999999994</v>
          </cell>
          <cell r="AF74">
            <v>27195.8</v>
          </cell>
          <cell r="AG74">
            <v>15808.47</v>
          </cell>
          <cell r="AH74">
            <v>31292.73</v>
          </cell>
          <cell r="AI74">
            <v>43395.6</v>
          </cell>
          <cell r="AJ74">
            <v>25293.219999999998</v>
          </cell>
          <cell r="AK74">
            <v>11339.960000000001</v>
          </cell>
          <cell r="AL74">
            <v>7906.42</v>
          </cell>
          <cell r="AO74">
            <v>-6066.96</v>
          </cell>
          <cell r="BK74">
            <v>228278.29</v>
          </cell>
        </row>
        <row r="75">
          <cell r="W75">
            <v>2525.1200000000003</v>
          </cell>
          <cell r="AA75">
            <v>5208.3900000000003</v>
          </cell>
          <cell r="AB75">
            <v>187.56</v>
          </cell>
          <cell r="BK75">
            <v>7921.0700000000006</v>
          </cell>
        </row>
        <row r="76">
          <cell r="AB76">
            <v>85.05</v>
          </cell>
          <cell r="AC76">
            <v>2505.08</v>
          </cell>
          <cell r="AD76">
            <v>18.14</v>
          </cell>
          <cell r="AE76">
            <v>512.92000000000007</v>
          </cell>
          <cell r="AF76">
            <v>1.25</v>
          </cell>
          <cell r="AG76">
            <v>1.25</v>
          </cell>
          <cell r="AH76">
            <v>1.25</v>
          </cell>
          <cell r="AI76">
            <v>0.94000000000000006</v>
          </cell>
          <cell r="AJ76">
            <v>27706.739999999998</v>
          </cell>
          <cell r="AK76">
            <v>60469.270000000004</v>
          </cell>
          <cell r="AL76">
            <v>121562.95999999999</v>
          </cell>
          <cell r="AM76">
            <v>3067.38</v>
          </cell>
          <cell r="BF76">
            <v>863.96</v>
          </cell>
          <cell r="BK76">
            <v>216796.18999999997</v>
          </cell>
        </row>
        <row r="77">
          <cell r="P77">
            <v>31660.15</v>
          </cell>
          <cell r="Q77">
            <v>128809.59000000003</v>
          </cell>
          <cell r="R77">
            <v>176390.80000000002</v>
          </cell>
          <cell r="S77">
            <v>23643.149999999998</v>
          </cell>
          <cell r="T77">
            <v>4967.95</v>
          </cell>
          <cell r="U77">
            <v>698.13</v>
          </cell>
          <cell r="W77">
            <v>115.46000000000001</v>
          </cell>
          <cell r="X77">
            <v>-5387.33</v>
          </cell>
          <cell r="AG77">
            <v>-23.73</v>
          </cell>
          <cell r="BK77">
            <v>360874.1700000001</v>
          </cell>
        </row>
        <row r="78">
          <cell r="R78">
            <v>70545.460000000006</v>
          </cell>
          <cell r="S78">
            <v>76378.98000000001</v>
          </cell>
          <cell r="T78">
            <v>136061.56</v>
          </cell>
          <cell r="U78">
            <v>77720.61</v>
          </cell>
          <cell r="V78">
            <v>35807.450000000004</v>
          </cell>
          <cell r="W78">
            <v>34520.489999999991</v>
          </cell>
          <cell r="X78">
            <v>101600.89999999998</v>
          </cell>
          <cell r="Y78">
            <v>51705.439999999995</v>
          </cell>
          <cell r="Z78">
            <v>116697.65000000001</v>
          </cell>
          <cell r="AI78">
            <v>5259.0300000000007</v>
          </cell>
          <cell r="BK78">
            <v>706297.57</v>
          </cell>
        </row>
        <row r="79">
          <cell r="P79">
            <v>30433.030000000002</v>
          </cell>
          <cell r="Q79">
            <v>98722.99</v>
          </cell>
          <cell r="R79">
            <v>191915.05</v>
          </cell>
          <cell r="S79">
            <v>137169.76</v>
          </cell>
          <cell r="T79">
            <v>136004.72</v>
          </cell>
          <cell r="U79">
            <v>35216.86</v>
          </cell>
          <cell r="V79">
            <v>2471.6</v>
          </cell>
          <cell r="W79">
            <v>19521.68</v>
          </cell>
          <cell r="X79">
            <v>1250.92</v>
          </cell>
          <cell r="Y79">
            <v>2143.2400000000002</v>
          </cell>
          <cell r="Z79">
            <v>3225.2900000000004</v>
          </cell>
          <cell r="AA79">
            <v>-29.46</v>
          </cell>
          <cell r="AG79">
            <v>-16578.989999999998</v>
          </cell>
          <cell r="BK79">
            <v>641466.69000000018</v>
          </cell>
        </row>
        <row r="80">
          <cell r="S80">
            <v>40311.62000000001</v>
          </cell>
          <cell r="T80">
            <v>58557.32</v>
          </cell>
          <cell r="U80">
            <v>97083.520000000004</v>
          </cell>
          <cell r="V80">
            <v>67898.490000000005</v>
          </cell>
          <cell r="W80">
            <v>75149.37000000001</v>
          </cell>
          <cell r="X80">
            <v>142725.5</v>
          </cell>
          <cell r="Y80">
            <v>86581.35</v>
          </cell>
          <cell r="Z80">
            <v>320239.71000000002</v>
          </cell>
          <cell r="AA80">
            <v>-21405.82</v>
          </cell>
          <cell r="BK80">
            <v>867141.06000000017</v>
          </cell>
        </row>
        <row r="81">
          <cell r="P81">
            <v>26772.400000000001</v>
          </cell>
          <cell r="Q81">
            <v>8188.3900000000012</v>
          </cell>
          <cell r="R81">
            <v>66617.62000000001</v>
          </cell>
          <cell r="S81">
            <v>135653.01</v>
          </cell>
          <cell r="T81">
            <v>110287.99000000002</v>
          </cell>
          <cell r="U81">
            <v>85016.8</v>
          </cell>
          <cell r="V81">
            <v>41683.199999999997</v>
          </cell>
          <cell r="W81">
            <v>41043.31</v>
          </cell>
          <cell r="X81">
            <v>25748.9</v>
          </cell>
          <cell r="Y81">
            <v>34279</v>
          </cell>
          <cell r="Z81">
            <v>228.26</v>
          </cell>
          <cell r="AG81">
            <v>-2218.5100000000002</v>
          </cell>
          <cell r="BK81">
            <v>573300.37</v>
          </cell>
        </row>
        <row r="82">
          <cell r="W82">
            <v>13933.490000000002</v>
          </cell>
          <cell r="X82">
            <v>25.08</v>
          </cell>
          <cell r="Y82">
            <v>46.07</v>
          </cell>
          <cell r="Z82">
            <v>128.80000000000001</v>
          </cell>
          <cell r="AA82">
            <v>21293.050000000003</v>
          </cell>
          <cell r="AB82">
            <v>247.99</v>
          </cell>
          <cell r="AC82">
            <v>124.86</v>
          </cell>
          <cell r="AD82">
            <v>250.6</v>
          </cell>
          <cell r="AE82">
            <v>18.02</v>
          </cell>
          <cell r="AN82">
            <v>18.03</v>
          </cell>
          <cell r="AO82">
            <v>923.31999999999994</v>
          </cell>
          <cell r="AP82">
            <v>18.5</v>
          </cell>
          <cell r="AQ82">
            <v>33.33</v>
          </cell>
          <cell r="AR82">
            <v>48.180000000000007</v>
          </cell>
          <cell r="AS82">
            <v>70.509999999999991</v>
          </cell>
          <cell r="AT82">
            <v>71937.14</v>
          </cell>
          <cell r="AU82">
            <v>101428.98999999999</v>
          </cell>
          <cell r="AV82">
            <v>116327.03000000001</v>
          </cell>
          <cell r="AW82">
            <v>127439.64</v>
          </cell>
          <cell r="AX82">
            <v>477667.53</v>
          </cell>
          <cell r="AY82">
            <v>2810.3</v>
          </cell>
          <cell r="AZ82">
            <v>61663.02</v>
          </cell>
          <cell r="BA82">
            <v>65515.759999999995</v>
          </cell>
          <cell r="BB82">
            <v>-3077.1299999999997</v>
          </cell>
          <cell r="BC82">
            <v>5352.8</v>
          </cell>
          <cell r="BD82">
            <v>9052.89</v>
          </cell>
          <cell r="BE82">
            <v>30281.87</v>
          </cell>
          <cell r="BF82">
            <v>41020.6</v>
          </cell>
          <cell r="BG82">
            <v>2703.58</v>
          </cell>
          <cell r="BK82">
            <v>1147303.8500000003</v>
          </cell>
        </row>
        <row r="83">
          <cell r="W83">
            <v>42.39</v>
          </cell>
          <cell r="AA83">
            <v>4251.7</v>
          </cell>
          <cell r="AB83">
            <v>213.4</v>
          </cell>
          <cell r="AC83">
            <v>3948.33</v>
          </cell>
          <cell r="AE83">
            <v>10534.809999999998</v>
          </cell>
          <cell r="AF83">
            <v>78694.09</v>
          </cell>
          <cell r="AG83">
            <v>52329.380000000005</v>
          </cell>
          <cell r="AH83">
            <v>67840.83</v>
          </cell>
          <cell r="AI83">
            <v>28032.75</v>
          </cell>
          <cell r="AJ83">
            <v>7233.34</v>
          </cell>
          <cell r="AK83">
            <v>1133.3399999999999</v>
          </cell>
          <cell r="AL83">
            <v>6223.33</v>
          </cell>
          <cell r="AM83">
            <v>360</v>
          </cell>
          <cell r="AN83">
            <v>10782.380000000001</v>
          </cell>
          <cell r="BK83">
            <v>271620.06999999995</v>
          </cell>
        </row>
        <row r="84">
          <cell r="W84">
            <v>56.56</v>
          </cell>
          <cell r="AA84">
            <v>2916.7000000000003</v>
          </cell>
          <cell r="AR84">
            <v>3.8600000000000003</v>
          </cell>
          <cell r="AS84">
            <v>5.66</v>
          </cell>
          <cell r="AT84">
            <v>5.37</v>
          </cell>
          <cell r="AU84">
            <v>5.3800000000000008</v>
          </cell>
          <cell r="AV84">
            <v>4.49</v>
          </cell>
          <cell r="AW84">
            <v>3.3</v>
          </cell>
          <cell r="AX84">
            <v>6555.14</v>
          </cell>
          <cell r="AY84">
            <v>19387.52</v>
          </cell>
          <cell r="AZ84">
            <v>11430.71</v>
          </cell>
          <cell r="BA84">
            <v>137426.97</v>
          </cell>
          <cell r="BB84">
            <v>3168.53</v>
          </cell>
          <cell r="BC84">
            <v>280</v>
          </cell>
          <cell r="BF84">
            <v>420</v>
          </cell>
          <cell r="BH84">
            <v>20</v>
          </cell>
          <cell r="BK84">
            <v>181690.19</v>
          </cell>
        </row>
        <row r="85">
          <cell r="AB85">
            <v>1120.1000000000001</v>
          </cell>
          <cell r="AC85">
            <v>40927.01</v>
          </cell>
          <cell r="AD85">
            <v>66103.37999999999</v>
          </cell>
          <cell r="AE85">
            <v>35263.629999999997</v>
          </cell>
          <cell r="AF85">
            <v>230.22000000000003</v>
          </cell>
          <cell r="AG85">
            <v>13934.07</v>
          </cell>
          <cell r="AH85">
            <v>1440.19</v>
          </cell>
          <cell r="BK85">
            <v>159018.6</v>
          </cell>
        </row>
        <row r="86">
          <cell r="W86">
            <v>223.81</v>
          </cell>
          <cell r="AA86">
            <v>9955.1799999999985</v>
          </cell>
          <cell r="AO86">
            <v>246.97</v>
          </cell>
          <cell r="AP86">
            <v>16417.55</v>
          </cell>
          <cell r="AQ86">
            <v>59088.07</v>
          </cell>
          <cell r="AR86">
            <v>93122.06</v>
          </cell>
          <cell r="AS86">
            <v>54992.21</v>
          </cell>
          <cell r="AT86">
            <v>28450.6</v>
          </cell>
          <cell r="AU86">
            <v>79386.23</v>
          </cell>
          <cell r="AV86">
            <v>10.209999999999837</v>
          </cell>
          <cell r="AW86">
            <v>40039.269999999997</v>
          </cell>
          <cell r="AX86">
            <v>42382.71</v>
          </cell>
          <cell r="AY86">
            <v>0</v>
          </cell>
          <cell r="BK86">
            <v>424314.87</v>
          </cell>
        </row>
        <row r="87">
          <cell r="W87">
            <v>224.03</v>
          </cell>
          <cell r="AA87">
            <v>6905.6100000000006</v>
          </cell>
          <cell r="AO87">
            <v>105.39000000000001</v>
          </cell>
          <cell r="AP87">
            <v>1580.2</v>
          </cell>
          <cell r="AQ87">
            <v>24372.950000000004</v>
          </cell>
          <cell r="AR87">
            <v>41582.160000000003</v>
          </cell>
          <cell r="AS87">
            <v>10015.65</v>
          </cell>
          <cell r="AT87">
            <v>10877.4</v>
          </cell>
          <cell r="AU87">
            <v>47954.700000000004</v>
          </cell>
          <cell r="AV87">
            <v>3465.35</v>
          </cell>
          <cell r="AW87">
            <v>14433.570000000002</v>
          </cell>
          <cell r="AX87">
            <v>13036.36</v>
          </cell>
          <cell r="BK87">
            <v>174553.37</v>
          </cell>
        </row>
        <row r="88">
          <cell r="W88">
            <v>2355.21</v>
          </cell>
          <cell r="AA88">
            <v>4042.09</v>
          </cell>
          <cell r="AB88">
            <v>250.92000000000002</v>
          </cell>
          <cell r="AC88">
            <v>3155.14</v>
          </cell>
          <cell r="AI88">
            <v>2728.32</v>
          </cell>
          <cell r="AJ88">
            <v>48196.680000000008</v>
          </cell>
          <cell r="AK88">
            <v>42154.540000000008</v>
          </cell>
          <cell r="AL88">
            <v>18063.920000000002</v>
          </cell>
          <cell r="AM88">
            <v>11369.48</v>
          </cell>
          <cell r="AN88">
            <v>7875.3399999999992</v>
          </cell>
          <cell r="AO88">
            <v>5646.3600000000006</v>
          </cell>
          <cell r="AP88">
            <v>11267.75</v>
          </cell>
          <cell r="AW88">
            <v>33242.399999999994</v>
          </cell>
          <cell r="AX88">
            <v>21339.09</v>
          </cell>
          <cell r="BK88">
            <v>211687.24</v>
          </cell>
        </row>
        <row r="89">
          <cell r="AA89">
            <v>18811.919999999998</v>
          </cell>
          <cell r="AB89">
            <v>879.65</v>
          </cell>
          <cell r="AC89">
            <v>12713.61</v>
          </cell>
          <cell r="AD89">
            <v>17483.309999999998</v>
          </cell>
          <cell r="AE89">
            <v>71144.66</v>
          </cell>
          <cell r="AF89">
            <v>70659.420000000013</v>
          </cell>
          <cell r="AG89">
            <v>67915.650000000009</v>
          </cell>
          <cell r="AH89">
            <v>51173.96</v>
          </cell>
          <cell r="AI89">
            <v>45152.18</v>
          </cell>
          <cell r="AJ89">
            <v>9186.0600000000013</v>
          </cell>
          <cell r="AK89">
            <v>6976.9599999999991</v>
          </cell>
          <cell r="BK89">
            <v>372097.38000000006</v>
          </cell>
        </row>
        <row r="90">
          <cell r="T90">
            <v>1488.2</v>
          </cell>
          <cell r="U90">
            <v>4.3100000000000005</v>
          </cell>
          <cell r="V90">
            <v>3.58</v>
          </cell>
          <cell r="W90">
            <v>515.77</v>
          </cell>
          <cell r="X90">
            <v>3.62</v>
          </cell>
          <cell r="Y90">
            <v>6.65</v>
          </cell>
          <cell r="Z90">
            <v>-2012.72</v>
          </cell>
          <cell r="AA90">
            <v>3885.2400000000007</v>
          </cell>
          <cell r="AB90">
            <v>-3886.4500000000003</v>
          </cell>
          <cell r="AC90">
            <v>-8.17</v>
          </cell>
          <cell r="AD90">
            <v>-0.03</v>
          </cell>
          <cell r="BK90">
            <v>2.7292057502847911E-13</v>
          </cell>
        </row>
        <row r="91">
          <cell r="S91">
            <v>5027.25</v>
          </cell>
          <cell r="T91">
            <v>16.080000000000002</v>
          </cell>
          <cell r="U91">
            <v>14.620000000000001</v>
          </cell>
          <cell r="V91">
            <v>745.77</v>
          </cell>
          <cell r="W91">
            <v>25685.5</v>
          </cell>
          <cell r="X91">
            <v>12338.94</v>
          </cell>
          <cell r="Y91">
            <v>169.92999999999998</v>
          </cell>
          <cell r="Z91">
            <v>1750.77</v>
          </cell>
          <cell r="AB91">
            <v>5047.71</v>
          </cell>
          <cell r="BK91">
            <v>50796.57</v>
          </cell>
        </row>
        <row r="92">
          <cell r="T92">
            <v>5365.53</v>
          </cell>
          <cell r="U92">
            <v>1253.2900000000002</v>
          </cell>
          <cell r="V92">
            <v>31293.24</v>
          </cell>
          <cell r="W92">
            <v>54618.62</v>
          </cell>
          <cell r="X92">
            <v>4896.3599999999997</v>
          </cell>
          <cell r="Y92">
            <v>-411.83000000000004</v>
          </cell>
          <cell r="Z92">
            <v>-488.26000000000005</v>
          </cell>
          <cell r="AA92">
            <v>-674.36</v>
          </cell>
          <cell r="AB92">
            <v>-2446.96</v>
          </cell>
          <cell r="AI92">
            <v>3116.1900000000005</v>
          </cell>
          <cell r="BK92">
            <v>96521.819999999992</v>
          </cell>
        </row>
        <row r="93">
          <cell r="S93">
            <v>12312.68</v>
          </cell>
          <cell r="T93">
            <v>109592.68999999999</v>
          </cell>
          <cell r="U93">
            <v>67949.209999999992</v>
          </cell>
          <cell r="V93">
            <v>16414.330000000005</v>
          </cell>
          <cell r="W93">
            <v>8546.2199999999993</v>
          </cell>
          <cell r="X93">
            <v>123.03</v>
          </cell>
          <cell r="Y93">
            <v>709.3</v>
          </cell>
          <cell r="Z93">
            <v>-2783.01</v>
          </cell>
          <cell r="AC93">
            <v>-21.36</v>
          </cell>
          <cell r="BK93">
            <v>212843.09</v>
          </cell>
        </row>
        <row r="94">
          <cell r="T94">
            <v>20843.160000000007</v>
          </cell>
          <cell r="U94">
            <v>85973.440000000002</v>
          </cell>
          <cell r="V94">
            <v>87570.469999999972</v>
          </cell>
          <cell r="W94">
            <v>87314.190000000017</v>
          </cell>
          <cell r="X94">
            <v>4329.4400000000005</v>
          </cell>
          <cell r="Y94">
            <v>2756.28</v>
          </cell>
          <cell r="Z94">
            <v>5447.35</v>
          </cell>
          <cell r="AA94">
            <v>6227.1500000000005</v>
          </cell>
          <cell r="AB94">
            <v>2103.23</v>
          </cell>
          <cell r="AC94">
            <v>-3023.5000000000005</v>
          </cell>
          <cell r="AJ94">
            <v>-4126.13</v>
          </cell>
          <cell r="BK94">
            <v>295415.08</v>
          </cell>
        </row>
        <row r="95">
          <cell r="S95">
            <v>14171.480000000001</v>
          </cell>
          <cell r="T95">
            <v>41204.429999999993</v>
          </cell>
          <cell r="U95">
            <v>43862.009999999995</v>
          </cell>
          <cell r="V95">
            <v>-3481.5900000000006</v>
          </cell>
          <cell r="W95">
            <v>2828.0700000000011</v>
          </cell>
          <cell r="X95">
            <v>1041.0800000000002</v>
          </cell>
          <cell r="Z95">
            <v>6462.72</v>
          </cell>
          <cell r="AA95">
            <v>6863.74</v>
          </cell>
          <cell r="AB95">
            <v>9312.7099999999991</v>
          </cell>
          <cell r="AC95">
            <v>-9204.17</v>
          </cell>
          <cell r="BK95">
            <v>113060.48</v>
          </cell>
        </row>
        <row r="96">
          <cell r="T96">
            <v>4814.53</v>
          </cell>
          <cell r="U96">
            <v>2076.15</v>
          </cell>
          <cell r="V96">
            <v>10352.1</v>
          </cell>
          <cell r="W96">
            <v>778.91</v>
          </cell>
          <cell r="AY96">
            <v>120.75</v>
          </cell>
          <cell r="AZ96">
            <v>100950.89000000001</v>
          </cell>
          <cell r="BA96">
            <v>349077.28999999992</v>
          </cell>
          <cell r="BB96">
            <v>-162693.63</v>
          </cell>
          <cell r="BC96">
            <v>1960.6800000000003</v>
          </cell>
          <cell r="BD96">
            <v>71596.09</v>
          </cell>
          <cell r="BE96">
            <v>1060.4099999999999</v>
          </cell>
          <cell r="BF96">
            <v>7116.14</v>
          </cell>
          <cell r="BG96">
            <v>12121.230000000001</v>
          </cell>
          <cell r="BK96">
            <v>399331.53999999986</v>
          </cell>
        </row>
        <row r="97">
          <cell r="T97">
            <v>34370.870000000003</v>
          </cell>
          <cell r="U97">
            <v>171.84</v>
          </cell>
          <cell r="V97">
            <v>-17445.919999999998</v>
          </cell>
          <cell r="AB97">
            <v>3139.56</v>
          </cell>
          <cell r="AC97">
            <v>204207.37000000002</v>
          </cell>
          <cell r="AD97">
            <v>131392.12000000002</v>
          </cell>
          <cell r="AE97">
            <v>24624.329999999998</v>
          </cell>
          <cell r="AF97">
            <v>12856.5</v>
          </cell>
          <cell r="AG97">
            <v>159.94000000000003</v>
          </cell>
          <cell r="AH97">
            <v>2214.13</v>
          </cell>
          <cell r="AI97">
            <v>8516.2899999999991</v>
          </cell>
          <cell r="AJ97">
            <v>0</v>
          </cell>
          <cell r="BK97">
            <v>404207.03000000009</v>
          </cell>
        </row>
        <row r="98">
          <cell r="AB98">
            <v>1295.17</v>
          </cell>
          <cell r="AC98">
            <v>17047.600000000002</v>
          </cell>
          <cell r="AD98">
            <v>7683.93</v>
          </cell>
          <cell r="AE98">
            <v>181820.48</v>
          </cell>
          <cell r="AF98">
            <v>90190.16</v>
          </cell>
          <cell r="AG98">
            <v>97753.680000000008</v>
          </cell>
          <cell r="AH98">
            <v>120301.46</v>
          </cell>
          <cell r="AI98">
            <v>61099.07</v>
          </cell>
          <cell r="AJ98">
            <v>69357.59</v>
          </cell>
          <cell r="AK98">
            <v>28215.570000000003</v>
          </cell>
          <cell r="AL98">
            <v>27537.040000000001</v>
          </cell>
          <cell r="AM98">
            <v>2090.1</v>
          </cell>
          <cell r="BK98">
            <v>704391.85</v>
          </cell>
        </row>
        <row r="99">
          <cell r="S99">
            <v>17815.830000000002</v>
          </cell>
          <cell r="T99">
            <v>11874.1</v>
          </cell>
          <cell r="U99">
            <v>2414.6200000000003</v>
          </cell>
          <cell r="V99">
            <v>1067</v>
          </cell>
          <cell r="W99">
            <v>1474.86</v>
          </cell>
          <cell r="Z99">
            <v>0</v>
          </cell>
          <cell r="AA99">
            <v>2443.4</v>
          </cell>
          <cell r="AC99">
            <v>8100.25</v>
          </cell>
          <cell r="BK99">
            <v>45190.060000000005</v>
          </cell>
        </row>
        <row r="100">
          <cell r="S100">
            <v>5697.630000000001</v>
          </cell>
          <cell r="T100">
            <v>8834.7999999999993</v>
          </cell>
          <cell r="U100">
            <v>1516.1100000000001</v>
          </cell>
          <cell r="W100">
            <v>1661.95</v>
          </cell>
          <cell r="AA100">
            <v>817.09</v>
          </cell>
          <cell r="AB100">
            <v>99.75</v>
          </cell>
          <cell r="AC100">
            <v>2021.95</v>
          </cell>
          <cell r="AD100">
            <v>8962.6099999999988</v>
          </cell>
          <cell r="AE100">
            <v>36259.089999999997</v>
          </cell>
          <cell r="AF100">
            <v>74815.399999999994</v>
          </cell>
          <cell r="AG100">
            <v>64650.200000000012</v>
          </cell>
          <cell r="AH100">
            <v>40125.79</v>
          </cell>
          <cell r="AI100">
            <v>20377.54</v>
          </cell>
          <cell r="AJ100">
            <v>8250.3100000000013</v>
          </cell>
          <cell r="AK100">
            <v>8025</v>
          </cell>
          <cell r="AL100">
            <v>8025</v>
          </cell>
          <cell r="AO100">
            <v>37431.26</v>
          </cell>
          <cell r="AP100">
            <v>102336.62000000002</v>
          </cell>
          <cell r="AQ100">
            <v>118628.96999999999</v>
          </cell>
          <cell r="AR100">
            <v>194643.77</v>
          </cell>
          <cell r="AS100">
            <v>22434.09</v>
          </cell>
          <cell r="AT100">
            <v>-2164.63</v>
          </cell>
          <cell r="AU100">
            <v>26.68</v>
          </cell>
          <cell r="AV100">
            <v>-656.38</v>
          </cell>
          <cell r="AW100">
            <v>-1937.8300000000002</v>
          </cell>
          <cell r="AZ100">
            <v>-330.31000000000006</v>
          </cell>
          <cell r="BK100">
            <v>760552.46000000008</v>
          </cell>
        </row>
        <row r="101">
          <cell r="Q101">
            <v>5790.17</v>
          </cell>
          <cell r="R101">
            <v>30350.720000000001</v>
          </cell>
          <cell r="S101">
            <v>1264.54</v>
          </cell>
          <cell r="T101">
            <v>5133.03</v>
          </cell>
          <cell r="U101">
            <v>122.87</v>
          </cell>
          <cell r="V101">
            <v>101.67999999999999</v>
          </cell>
          <cell r="W101">
            <v>4369.4500000000007</v>
          </cell>
          <cell r="X101">
            <v>-143.22</v>
          </cell>
          <cell r="BK101">
            <v>46989.240000000005</v>
          </cell>
        </row>
        <row r="102">
          <cell r="AB102">
            <v>326.35000000000002</v>
          </cell>
          <cell r="AC102">
            <v>10133.910000000002</v>
          </cell>
          <cell r="AD102">
            <v>73.22</v>
          </cell>
          <cell r="AE102">
            <v>2.63</v>
          </cell>
          <cell r="AF102">
            <v>2.11</v>
          </cell>
          <cell r="AN102">
            <v>5.2700000000000005</v>
          </cell>
          <cell r="AO102">
            <v>81.42</v>
          </cell>
          <cell r="AP102">
            <v>6403.8</v>
          </cell>
          <cell r="AQ102">
            <v>65308.580000000016</v>
          </cell>
          <cell r="AR102">
            <v>56765.159999999996</v>
          </cell>
          <cell r="AS102">
            <v>56670.5</v>
          </cell>
          <cell r="AT102">
            <v>91415.55</v>
          </cell>
          <cell r="AU102">
            <v>96781.789999999964</v>
          </cell>
          <cell r="AV102">
            <v>90219.299999999988</v>
          </cell>
          <cell r="AW102">
            <v>38644.19</v>
          </cell>
          <cell r="AX102">
            <v>-574.34999999999968</v>
          </cell>
          <cell r="AY102">
            <v>725.1</v>
          </cell>
          <cell r="AZ102">
            <v>-214.45</v>
          </cell>
          <cell r="BA102">
            <v>1079.75</v>
          </cell>
          <cell r="BC102">
            <v>1891.56</v>
          </cell>
          <cell r="BE102">
            <v>9894.0300000000007</v>
          </cell>
          <cell r="BK102">
            <v>525635.41999999993</v>
          </cell>
        </row>
        <row r="103">
          <cell r="AB103">
            <v>329.02000000000004</v>
          </cell>
          <cell r="AC103">
            <v>7159.26</v>
          </cell>
          <cell r="AD103">
            <v>13574.92</v>
          </cell>
          <cell r="AE103">
            <v>10.53</v>
          </cell>
          <cell r="AF103">
            <v>8.43</v>
          </cell>
          <cell r="AG103">
            <v>22.240000000000002</v>
          </cell>
          <cell r="AH103">
            <v>1686.0200000000002</v>
          </cell>
          <cell r="AI103">
            <v>42023.61</v>
          </cell>
          <cell r="AJ103">
            <v>65567.310000000012</v>
          </cell>
          <cell r="AK103">
            <v>82415.08</v>
          </cell>
          <cell r="AL103">
            <v>89562.59</v>
          </cell>
          <cell r="AM103">
            <v>5778.0699999999988</v>
          </cell>
          <cell r="AO103">
            <v>-1751.52</v>
          </cell>
          <cell r="AP103">
            <v>16157.189999999999</v>
          </cell>
          <cell r="AQ103">
            <v>173.61</v>
          </cell>
          <cell r="AT103">
            <v>2967.9</v>
          </cell>
          <cell r="AU103">
            <v>2151.1499999999996</v>
          </cell>
          <cell r="BK103">
            <v>327835.41000000003</v>
          </cell>
        </row>
        <row r="104">
          <cell r="T104">
            <v>10550.44</v>
          </cell>
          <cell r="U104">
            <v>30.6</v>
          </cell>
          <cell r="W104">
            <v>15048.460000000001</v>
          </cell>
          <cell r="AA104">
            <v>1247.19</v>
          </cell>
          <cell r="AN104">
            <v>13.44</v>
          </cell>
          <cell r="AO104">
            <v>13.450000000000001</v>
          </cell>
          <cell r="AP104">
            <v>13.450000000000001</v>
          </cell>
          <cell r="AQ104">
            <v>49643.93</v>
          </cell>
          <cell r="AR104">
            <v>72162.89</v>
          </cell>
          <cell r="AS104">
            <v>28995.54</v>
          </cell>
          <cell r="AT104">
            <v>202592.57</v>
          </cell>
          <cell r="AU104">
            <v>123350.64</v>
          </cell>
          <cell r="AV104">
            <v>250.60000000000002</v>
          </cell>
          <cell r="AW104">
            <v>7326.7199999999993</v>
          </cell>
          <cell r="AY104">
            <v>-27.29</v>
          </cell>
          <cell r="BD104">
            <v>-7093.9600000000009</v>
          </cell>
          <cell r="BK104">
            <v>504118.66999999993</v>
          </cell>
        </row>
        <row r="105">
          <cell r="AC105">
            <v>21293.46</v>
          </cell>
          <cell r="AD105">
            <v>70299.22</v>
          </cell>
          <cell r="AE105">
            <v>89053.07</v>
          </cell>
          <cell r="AF105">
            <v>164200.80000000002</v>
          </cell>
          <cell r="AG105">
            <v>54325.120000000003</v>
          </cell>
          <cell r="AH105">
            <v>24041.620000000003</v>
          </cell>
          <cell r="AI105">
            <v>19135.25</v>
          </cell>
          <cell r="BK105">
            <v>442348.54000000004</v>
          </cell>
        </row>
        <row r="106">
          <cell r="AD106">
            <v>3395.2400000000007</v>
          </cell>
          <cell r="AE106">
            <v>7356.7599999999984</v>
          </cell>
          <cell r="AF106">
            <v>50993.899999999994</v>
          </cell>
          <cell r="AG106">
            <v>7624.9400000000005</v>
          </cell>
          <cell r="AH106">
            <v>1383.92</v>
          </cell>
          <cell r="BK106">
            <v>70754.759999999995</v>
          </cell>
        </row>
        <row r="107">
          <cell r="AI107">
            <v>11996.72</v>
          </cell>
          <cell r="AJ107">
            <v>51932.28</v>
          </cell>
          <cell r="AK107">
            <v>8366.6400000000012</v>
          </cell>
          <cell r="AL107">
            <v>-31.82</v>
          </cell>
          <cell r="AN107">
            <v>281.39999999999998</v>
          </cell>
          <cell r="AR107">
            <v>10553.320000000002</v>
          </cell>
          <cell r="BK107">
            <v>83098.539999999994</v>
          </cell>
        </row>
        <row r="108">
          <cell r="AI108">
            <v>60860.82</v>
          </cell>
          <cell r="AJ108">
            <v>64213.280000000006</v>
          </cell>
          <cell r="AK108">
            <v>48381.459999999992</v>
          </cell>
          <cell r="AL108">
            <v>46122.559999999998</v>
          </cell>
          <cell r="AM108">
            <v>52.59</v>
          </cell>
          <cell r="AN108">
            <v>31165.57</v>
          </cell>
          <cell r="AO108">
            <v>559.80000000000007</v>
          </cell>
          <cell r="AP108">
            <v>22.9</v>
          </cell>
          <cell r="BK108">
            <v>251378.97999999998</v>
          </cell>
        </row>
        <row r="109">
          <cell r="AK109">
            <v>34552.200000000004</v>
          </cell>
          <cell r="AL109">
            <v>141597.11999999997</v>
          </cell>
          <cell r="AM109">
            <v>-5084.4000000000033</v>
          </cell>
          <cell r="AN109">
            <v>45394.130000000005</v>
          </cell>
          <cell r="AO109">
            <v>3973.650000000001</v>
          </cell>
          <cell r="AQ109">
            <v>43.89</v>
          </cell>
          <cell r="BK109">
            <v>220476.59</v>
          </cell>
        </row>
        <row r="110">
          <cell r="AK110">
            <v>447.99</v>
          </cell>
          <cell r="AL110">
            <v>29348.17</v>
          </cell>
          <cell r="AM110">
            <v>-4.54</v>
          </cell>
          <cell r="AP110">
            <v>16737.95</v>
          </cell>
          <cell r="BK110">
            <v>46529.57</v>
          </cell>
        </row>
        <row r="111">
          <cell r="AN111">
            <v>148.99</v>
          </cell>
          <cell r="AO111">
            <v>18922.13</v>
          </cell>
          <cell r="AP111">
            <v>17148.559999999998</v>
          </cell>
          <cell r="AQ111">
            <v>5483.76</v>
          </cell>
          <cell r="AR111">
            <v>2370.3199999999997</v>
          </cell>
          <cell r="AS111">
            <v>28245.899999999998</v>
          </cell>
          <cell r="AT111">
            <v>50631.46</v>
          </cell>
          <cell r="AU111">
            <v>71596.199999999983</v>
          </cell>
          <cell r="AV111">
            <v>37623.270000000004</v>
          </cell>
          <cell r="AW111">
            <v>32238.760000000002</v>
          </cell>
          <cell r="AX111">
            <v>16278.54</v>
          </cell>
          <cell r="AY111">
            <v>-3271.14</v>
          </cell>
          <cell r="AZ111">
            <v>3372.74</v>
          </cell>
          <cell r="BA111">
            <v>2775.61</v>
          </cell>
          <cell r="BB111">
            <v>8951.76</v>
          </cell>
          <cell r="BC111">
            <v>2890.48</v>
          </cell>
          <cell r="BD111">
            <v>6574.8</v>
          </cell>
          <cell r="BK111">
            <v>301982.1399999999</v>
          </cell>
        </row>
        <row r="112">
          <cell r="AN112">
            <v>482.94000000000005</v>
          </cell>
          <cell r="AO112">
            <v>4115.63</v>
          </cell>
          <cell r="AP112">
            <v>12460.509999999998</v>
          </cell>
          <cell r="AQ112">
            <v>53727.30000000001</v>
          </cell>
          <cell r="AR112">
            <v>34752.980000000003</v>
          </cell>
          <cell r="AS112">
            <v>57320.959999999999</v>
          </cell>
          <cell r="AT112">
            <v>7935.2600000000011</v>
          </cell>
          <cell r="AU112">
            <v>13791.739999999998</v>
          </cell>
          <cell r="AV112">
            <v>52303.240000000005</v>
          </cell>
          <cell r="AW112">
            <v>119114.77000000002</v>
          </cell>
          <cell r="AX112">
            <v>160262.35</v>
          </cell>
          <cell r="AY112">
            <v>58560.380000000005</v>
          </cell>
          <cell r="AZ112">
            <v>7111.8799999999992</v>
          </cell>
          <cell r="BA112">
            <v>2616.4100000000003</v>
          </cell>
          <cell r="BB112">
            <v>32815.54</v>
          </cell>
          <cell r="BC112">
            <v>3662.8700000000003</v>
          </cell>
          <cell r="BD112">
            <v>6477.97</v>
          </cell>
          <cell r="BE112">
            <v>1070.77</v>
          </cell>
          <cell r="BK112">
            <v>628583.50000000012</v>
          </cell>
        </row>
        <row r="113">
          <cell r="AN113">
            <v>12215.740000000002</v>
          </cell>
          <cell r="AO113">
            <v>32618.950000000004</v>
          </cell>
          <cell r="AP113">
            <v>34906.869999999995</v>
          </cell>
          <cell r="AQ113">
            <v>33521.56</v>
          </cell>
          <cell r="AR113">
            <v>45254.380000000005</v>
          </cell>
          <cell r="AS113">
            <v>13216.83</v>
          </cell>
          <cell r="AT113">
            <v>33034.080000000002</v>
          </cell>
          <cell r="AU113">
            <v>100766.68000000002</v>
          </cell>
          <cell r="AV113">
            <v>698.42000000000007</v>
          </cell>
          <cell r="AW113">
            <v>164.99</v>
          </cell>
          <cell r="BK113">
            <v>306398.49999999994</v>
          </cell>
        </row>
        <row r="114">
          <cell r="AN114">
            <v>3087.26</v>
          </cell>
          <cell r="AO114">
            <v>64162.359999999993</v>
          </cell>
          <cell r="AP114">
            <v>66801.12000000001</v>
          </cell>
          <cell r="AQ114">
            <v>81292.34</v>
          </cell>
          <cell r="AR114">
            <v>68012.59</v>
          </cell>
          <cell r="AS114">
            <v>526.37</v>
          </cell>
          <cell r="AT114">
            <v>69495.3</v>
          </cell>
          <cell r="AU114">
            <v>56720.520000000004</v>
          </cell>
          <cell r="AV114">
            <v>26092.879999999997</v>
          </cell>
          <cell r="AW114">
            <v>23476.74</v>
          </cell>
          <cell r="AX114">
            <v>230.14000000000001</v>
          </cell>
          <cell r="AY114">
            <v>-2617.4899999999998</v>
          </cell>
          <cell r="AZ114">
            <v>116.7999999999999</v>
          </cell>
          <cell r="BA114">
            <v>68.680000000000007</v>
          </cell>
          <cell r="BK114">
            <v>457465.61</v>
          </cell>
        </row>
        <row r="115">
          <cell r="AO115">
            <v>191.55</v>
          </cell>
          <cell r="AP115">
            <v>0.1</v>
          </cell>
          <cell r="AQ115">
            <v>61493.000000000007</v>
          </cell>
          <cell r="AR115">
            <v>55424.709999999992</v>
          </cell>
          <cell r="AS115">
            <v>211264.92</v>
          </cell>
          <cell r="AT115">
            <v>44229.83</v>
          </cell>
          <cell r="AU115">
            <v>102929.45999999999</v>
          </cell>
          <cell r="AV115">
            <v>1227.83</v>
          </cell>
          <cell r="AW115">
            <v>1884.75</v>
          </cell>
          <cell r="AX115">
            <v>589.87999999999988</v>
          </cell>
          <cell r="AZ115">
            <v>-285.41000000000003</v>
          </cell>
          <cell r="BB115">
            <v>-2280.8199999999997</v>
          </cell>
          <cell r="BK115">
            <v>476669.8000000001</v>
          </cell>
        </row>
        <row r="116">
          <cell r="AO116">
            <v>362.84</v>
          </cell>
          <cell r="AP116">
            <v>0.18</v>
          </cell>
          <cell r="AQ116">
            <v>0.33</v>
          </cell>
          <cell r="AR116">
            <v>1414.3200000000002</v>
          </cell>
          <cell r="AS116">
            <v>46610.75</v>
          </cell>
          <cell r="AT116">
            <v>6865.45</v>
          </cell>
          <cell r="AU116">
            <v>144230.74</v>
          </cell>
          <cell r="AV116">
            <v>66479.259999999995</v>
          </cell>
          <cell r="AW116">
            <v>24570.02</v>
          </cell>
          <cell r="AX116">
            <v>49906.429999999993</v>
          </cell>
          <cell r="AY116">
            <v>-0.01</v>
          </cell>
          <cell r="AZ116">
            <v>20.46</v>
          </cell>
          <cell r="BD116">
            <v>-6086.8</v>
          </cell>
          <cell r="BK116">
            <v>334373.97000000003</v>
          </cell>
        </row>
        <row r="117">
          <cell r="AO117">
            <v>124448.27000000002</v>
          </cell>
          <cell r="AP117">
            <v>55790.779999999992</v>
          </cell>
          <cell r="AQ117">
            <v>118623.16</v>
          </cell>
          <cell r="AR117">
            <v>167234.59000000003</v>
          </cell>
          <cell r="AS117">
            <v>98888.749999999971</v>
          </cell>
          <cell r="AT117">
            <v>103314.62</v>
          </cell>
          <cell r="AU117">
            <v>2362.61</v>
          </cell>
          <cell r="AY117">
            <v>422.49</v>
          </cell>
          <cell r="BK117">
            <v>671085.27</v>
          </cell>
        </row>
        <row r="118">
          <cell r="AO118">
            <v>1614.25</v>
          </cell>
          <cell r="AP118">
            <v>0.81</v>
          </cell>
          <cell r="AQ118">
            <v>1.45</v>
          </cell>
          <cell r="AR118">
            <v>2.1</v>
          </cell>
          <cell r="AS118">
            <v>3.08</v>
          </cell>
          <cell r="AT118">
            <v>55739.66</v>
          </cell>
          <cell r="AU118">
            <v>122022.26999999999</v>
          </cell>
          <cell r="AV118">
            <v>105894.77999999996</v>
          </cell>
          <cell r="AW118">
            <v>94831.78</v>
          </cell>
          <cell r="AX118">
            <v>104514.42</v>
          </cell>
          <cell r="AY118">
            <v>-5966.0199999999995</v>
          </cell>
          <cell r="AZ118">
            <v>393.39</v>
          </cell>
          <cell r="BB118">
            <v>0</v>
          </cell>
          <cell r="BK118">
            <v>479051.96999999991</v>
          </cell>
        </row>
        <row r="119">
          <cell r="AO119">
            <v>286.96000000000004</v>
          </cell>
          <cell r="AP119">
            <v>0.14000000000000001</v>
          </cell>
          <cell r="AQ119">
            <v>0.26</v>
          </cell>
          <cell r="AR119">
            <v>76638.98</v>
          </cell>
          <cell r="AS119">
            <v>148939.04999999999</v>
          </cell>
          <cell r="AT119">
            <v>234562.25999999998</v>
          </cell>
          <cell r="AU119">
            <v>300776.35000000009</v>
          </cell>
          <cell r="AV119">
            <v>-26674.750000000004</v>
          </cell>
          <cell r="AW119">
            <v>16622.97</v>
          </cell>
          <cell r="AX119">
            <v>63836.800000000003</v>
          </cell>
          <cell r="AY119">
            <v>0</v>
          </cell>
          <cell r="AZ119">
            <v>18325.29</v>
          </cell>
          <cell r="BB119">
            <v>-1244.6500000000001</v>
          </cell>
          <cell r="BD119">
            <v>212.17999999999998</v>
          </cell>
          <cell r="BK119">
            <v>832281.84000000008</v>
          </cell>
        </row>
        <row r="120">
          <cell r="AO120">
            <v>2143.0299999999997</v>
          </cell>
          <cell r="AP120">
            <v>53.92</v>
          </cell>
          <cell r="AQ120">
            <v>1.98</v>
          </cell>
          <cell r="AR120">
            <v>2.8600000000000003</v>
          </cell>
          <cell r="AS120">
            <v>4.18</v>
          </cell>
          <cell r="AT120">
            <v>3.9699999999999998</v>
          </cell>
          <cell r="AU120">
            <v>87859.23000000001</v>
          </cell>
          <cell r="AV120">
            <v>68533.2</v>
          </cell>
          <cell r="AW120">
            <v>106122.86</v>
          </cell>
          <cell r="AX120">
            <v>79986.649999999994</v>
          </cell>
          <cell r="AY120">
            <v>0</v>
          </cell>
          <cell r="AZ120">
            <v>-763.83</v>
          </cell>
          <cell r="BA120">
            <v>-10528.79</v>
          </cell>
          <cell r="BD120">
            <v>-1985.37</v>
          </cell>
          <cell r="BK120">
            <v>331433.89</v>
          </cell>
        </row>
        <row r="121">
          <cell r="AO121">
            <v>106.63000000000001</v>
          </cell>
          <cell r="AP121">
            <v>0.05</v>
          </cell>
          <cell r="AQ121">
            <v>0.09</v>
          </cell>
          <cell r="AR121">
            <v>0.13</v>
          </cell>
          <cell r="AS121">
            <v>22813.57</v>
          </cell>
          <cell r="AT121">
            <v>18805.280000000002</v>
          </cell>
          <cell r="AU121">
            <v>91027.09</v>
          </cell>
          <cell r="AV121">
            <v>49495.5</v>
          </cell>
          <cell r="AW121">
            <v>27169.51</v>
          </cell>
          <cell r="AX121">
            <v>55594.650000000009</v>
          </cell>
          <cell r="AZ121">
            <v>-264.63</v>
          </cell>
          <cell r="BA121">
            <v>-4167.16</v>
          </cell>
          <cell r="BD121">
            <v>-2133.5100000000002</v>
          </cell>
          <cell r="BK121">
            <v>258447.19999999998</v>
          </cell>
        </row>
        <row r="122">
          <cell r="AO122">
            <v>2112.83</v>
          </cell>
          <cell r="AP122">
            <v>53.17</v>
          </cell>
          <cell r="AQ122">
            <v>1.9500000000000002</v>
          </cell>
          <cell r="AR122">
            <v>21536.240000000002</v>
          </cell>
          <cell r="AS122">
            <v>82880.350000000006</v>
          </cell>
          <cell r="AT122">
            <v>40848.57</v>
          </cell>
          <cell r="AU122">
            <v>44293.37</v>
          </cell>
          <cell r="AV122">
            <v>34747.230000000003</v>
          </cell>
          <cell r="AW122">
            <v>34584.480000000003</v>
          </cell>
          <cell r="AX122">
            <v>17258.38</v>
          </cell>
          <cell r="AY122">
            <v>49191.760000000009</v>
          </cell>
          <cell r="AZ122">
            <v>10557.78</v>
          </cell>
          <cell r="BA122">
            <v>754.21</v>
          </cell>
          <cell r="BB122">
            <v>12329.910000000002</v>
          </cell>
          <cell r="BC122">
            <v>0</v>
          </cell>
          <cell r="BK122">
            <v>351150.23000000004</v>
          </cell>
        </row>
        <row r="123">
          <cell r="AO123">
            <v>18493.63</v>
          </cell>
          <cell r="AP123">
            <v>58655.37999999999</v>
          </cell>
          <cell r="AQ123">
            <v>72721.23</v>
          </cell>
          <cell r="AR123">
            <v>23089.43</v>
          </cell>
          <cell r="AS123">
            <v>24679.280000000002</v>
          </cell>
          <cell r="AT123">
            <v>42371.630000000005</v>
          </cell>
          <cell r="AU123">
            <v>42722.260000000009</v>
          </cell>
          <cell r="AV123">
            <v>52126.570000000007</v>
          </cell>
          <cell r="AW123">
            <v>6186.4</v>
          </cell>
          <cell r="AX123">
            <v>13514.99</v>
          </cell>
          <cell r="AZ123">
            <v>-534.58000000000004</v>
          </cell>
          <cell r="BB123">
            <v>5806.11</v>
          </cell>
          <cell r="BK123">
            <v>359832.32999999996</v>
          </cell>
        </row>
        <row r="124">
          <cell r="AO124">
            <v>3566.61</v>
          </cell>
          <cell r="AP124">
            <v>1382.63</v>
          </cell>
          <cell r="AQ124">
            <v>4.45</v>
          </cell>
          <cell r="AR124">
            <v>10342.34</v>
          </cell>
          <cell r="AS124">
            <v>9020.82</v>
          </cell>
          <cell r="AT124">
            <v>33149.570000000007</v>
          </cell>
          <cell r="AU124">
            <v>84806.77</v>
          </cell>
          <cell r="AV124">
            <v>72460.820000000022</v>
          </cell>
          <cell r="AW124">
            <v>82445.19</v>
          </cell>
          <cell r="AX124">
            <v>23444.080000000002</v>
          </cell>
          <cell r="AY124">
            <v>-4646.32</v>
          </cell>
          <cell r="AZ124">
            <v>-167.97</v>
          </cell>
          <cell r="BC124">
            <v>5997.54</v>
          </cell>
          <cell r="BD124">
            <v>954.14</v>
          </cell>
          <cell r="BK124">
            <v>322760.67000000004</v>
          </cell>
        </row>
        <row r="125">
          <cell r="AO125">
            <v>1628.4600000000003</v>
          </cell>
          <cell r="AP125">
            <v>38286.870000000003</v>
          </cell>
          <cell r="AQ125">
            <v>179941.78000000003</v>
          </cell>
          <cell r="AR125">
            <v>77944.77</v>
          </cell>
          <cell r="AS125">
            <v>12086.259999999998</v>
          </cell>
          <cell r="AT125">
            <v>68335.900000000009</v>
          </cell>
          <cell r="AU125">
            <v>52472.479999999989</v>
          </cell>
          <cell r="BK125">
            <v>430696.52000000008</v>
          </cell>
        </row>
        <row r="126">
          <cell r="AO126">
            <v>42321.44000000001</v>
          </cell>
          <cell r="AP126">
            <v>94200.39</v>
          </cell>
          <cell r="AQ126">
            <v>154597.36999999997</v>
          </cell>
          <cell r="AR126">
            <v>52270.87</v>
          </cell>
          <cell r="AS126">
            <v>43678.720000000001</v>
          </cell>
          <cell r="AT126">
            <v>17367.500000000004</v>
          </cell>
          <cell r="AU126">
            <v>42897.23</v>
          </cell>
          <cell r="BK126">
            <v>447333.5199999999</v>
          </cell>
        </row>
        <row r="127">
          <cell r="AO127">
            <v>1519.41</v>
          </cell>
          <cell r="AP127">
            <v>1136.05</v>
          </cell>
          <cell r="AQ127">
            <v>510.43</v>
          </cell>
          <cell r="AR127">
            <v>26298.2</v>
          </cell>
          <cell r="AS127">
            <v>22054.169999999995</v>
          </cell>
          <cell r="AT127">
            <v>167632.11999999997</v>
          </cell>
          <cell r="AU127">
            <v>63579.42</v>
          </cell>
          <cell r="AV127">
            <v>6044.37</v>
          </cell>
          <cell r="AW127">
            <v>2328.2199999999998</v>
          </cell>
          <cell r="AX127">
            <v>1666.04</v>
          </cell>
          <cell r="AY127">
            <v>0</v>
          </cell>
          <cell r="AZ127">
            <v>-437.02</v>
          </cell>
          <cell r="BD127">
            <v>-155.57999999999998</v>
          </cell>
          <cell r="BF127">
            <v>2500.41</v>
          </cell>
          <cell r="BK127">
            <v>294676.23999999982</v>
          </cell>
        </row>
        <row r="128">
          <cell r="AO128">
            <v>1448.6100000000001</v>
          </cell>
          <cell r="AP128">
            <v>57289.599999999999</v>
          </cell>
          <cell r="AQ128">
            <v>79585.119999999995</v>
          </cell>
          <cell r="AR128">
            <v>18771.650000000001</v>
          </cell>
          <cell r="AU128">
            <v>420.26</v>
          </cell>
          <cell r="BA128">
            <v>79669.100000000006</v>
          </cell>
          <cell r="BB128">
            <v>-101555.94000000002</v>
          </cell>
          <cell r="BC128">
            <v>1263.1000000000001</v>
          </cell>
          <cell r="BD128">
            <v>0</v>
          </cell>
          <cell r="BE128">
            <v>549.71</v>
          </cell>
          <cell r="BG128">
            <v>1289</v>
          </cell>
          <cell r="BK128">
            <v>138730.20999999996</v>
          </cell>
        </row>
        <row r="129">
          <cell r="AP129">
            <v>31.35</v>
          </cell>
          <cell r="AQ129">
            <v>0.03</v>
          </cell>
          <cell r="AR129">
            <v>0.04</v>
          </cell>
          <cell r="AS129">
            <v>4383.2899999999991</v>
          </cell>
          <cell r="AT129">
            <v>92964.76</v>
          </cell>
          <cell r="AU129">
            <v>123343.42000000001</v>
          </cell>
          <cell r="AV129">
            <v>20930.27</v>
          </cell>
          <cell r="AW129">
            <v>23228.93</v>
          </cell>
          <cell r="AX129">
            <v>6369.58</v>
          </cell>
          <cell r="AY129">
            <v>0</v>
          </cell>
          <cell r="AZ129">
            <v>-212.01</v>
          </cell>
          <cell r="BB129">
            <v>16.59</v>
          </cell>
          <cell r="BF129">
            <v>985.44</v>
          </cell>
          <cell r="BK129">
            <v>272041.69000000006</v>
          </cell>
        </row>
        <row r="130">
          <cell r="AQ130">
            <v>23212.369999999995</v>
          </cell>
          <cell r="AR130">
            <v>56638.87</v>
          </cell>
          <cell r="AS130">
            <v>65762.280000000013</v>
          </cell>
          <cell r="AT130">
            <v>60836.77</v>
          </cell>
          <cell r="AU130">
            <v>43846.039999999994</v>
          </cell>
          <cell r="AV130">
            <v>45925.96</v>
          </cell>
          <cell r="AW130">
            <v>20655.350000000006</v>
          </cell>
          <cell r="AX130">
            <v>5001.68</v>
          </cell>
          <cell r="AY130">
            <v>52988.880000000005</v>
          </cell>
          <cell r="AZ130">
            <v>-147.01</v>
          </cell>
          <cell r="BG130">
            <v>676.82999999999993</v>
          </cell>
          <cell r="BK130">
            <v>375398.02</v>
          </cell>
        </row>
        <row r="131">
          <cell r="AR131">
            <v>25050.189999999995</v>
          </cell>
          <cell r="AS131">
            <v>28885.949999999997</v>
          </cell>
          <cell r="AT131">
            <v>10051.44</v>
          </cell>
          <cell r="AU131">
            <v>101794.27999999998</v>
          </cell>
          <cell r="AV131">
            <v>8444.7899999999991</v>
          </cell>
          <cell r="AW131">
            <v>13883.930000000002</v>
          </cell>
          <cell r="AX131">
            <v>18772.22</v>
          </cell>
          <cell r="AY131">
            <v>0</v>
          </cell>
          <cell r="BD131">
            <v>-3609.61</v>
          </cell>
          <cell r="BK131">
            <v>203273.19</v>
          </cell>
        </row>
        <row r="132">
          <cell r="AR132">
            <v>55673.530000000006</v>
          </cell>
          <cell r="AS132">
            <v>49918.049999999988</v>
          </cell>
          <cell r="AT132">
            <v>55776.11</v>
          </cell>
          <cell r="AU132">
            <v>84343.92</v>
          </cell>
          <cell r="AV132">
            <v>1252.1300000000001</v>
          </cell>
          <cell r="AW132">
            <v>5315.85</v>
          </cell>
          <cell r="AX132">
            <v>9407.7400000000016</v>
          </cell>
          <cell r="AY132">
            <v>0</v>
          </cell>
          <cell r="BD132">
            <v>-1512.34</v>
          </cell>
          <cell r="BK132">
            <v>260174.99</v>
          </cell>
        </row>
        <row r="133">
          <cell r="AR133">
            <v>486.35000000000008</v>
          </cell>
          <cell r="AS133">
            <v>573.74</v>
          </cell>
          <cell r="AT133">
            <v>17800.61</v>
          </cell>
          <cell r="AU133">
            <v>19076.82</v>
          </cell>
          <cell r="AV133">
            <v>80735.56</v>
          </cell>
          <cell r="AW133">
            <v>40406.959999999999</v>
          </cell>
          <cell r="AX133">
            <v>63968.930000000008</v>
          </cell>
          <cell r="AY133">
            <v>0.05</v>
          </cell>
          <cell r="BB133">
            <v>6786.79</v>
          </cell>
          <cell r="BK133">
            <v>229835.81000000003</v>
          </cell>
        </row>
        <row r="134">
          <cell r="AS134">
            <v>27.52</v>
          </cell>
          <cell r="AT134">
            <v>31538.05</v>
          </cell>
          <cell r="AU134">
            <v>131698.38</v>
          </cell>
          <cell r="AV134">
            <v>84146</v>
          </cell>
          <cell r="AW134">
            <v>25640.769999999997</v>
          </cell>
          <cell r="AX134">
            <v>98958.550000000017</v>
          </cell>
          <cell r="AY134">
            <v>2500.75</v>
          </cell>
          <cell r="AZ134">
            <v>509.16999999999996</v>
          </cell>
          <cell r="BB134">
            <v>1742.27</v>
          </cell>
          <cell r="BC134">
            <v>7066.66</v>
          </cell>
          <cell r="BF134">
            <v>-4622.05</v>
          </cell>
          <cell r="BH134">
            <v>-1966.4</v>
          </cell>
          <cell r="BJ134">
            <v>0</v>
          </cell>
          <cell r="BK134">
            <v>377239.67</v>
          </cell>
        </row>
        <row r="135">
          <cell r="AS135">
            <v>10263.43</v>
          </cell>
          <cell r="AT135">
            <v>16198.180000000002</v>
          </cell>
          <cell r="AU135">
            <v>78323.039999999994</v>
          </cell>
          <cell r="AV135">
            <v>3544.26</v>
          </cell>
          <cell r="AW135">
            <v>5642.7300000000005</v>
          </cell>
          <cell r="AX135">
            <v>11104.800000000001</v>
          </cell>
          <cell r="AY135">
            <v>0.01</v>
          </cell>
          <cell r="AZ135">
            <v>384.18000000000006</v>
          </cell>
          <cell r="BA135">
            <v>153.99</v>
          </cell>
          <cell r="BK135">
            <v>125614.61999999998</v>
          </cell>
        </row>
        <row r="136">
          <cell r="AU136">
            <v>201280.26999999996</v>
          </cell>
          <cell r="AV136">
            <v>132168.76</v>
          </cell>
          <cell r="AW136">
            <v>21908.920000000002</v>
          </cell>
          <cell r="AX136">
            <v>31259.340000000004</v>
          </cell>
          <cell r="AY136">
            <v>-13177.650000000001</v>
          </cell>
          <cell r="AZ136">
            <v>25789.940000000002</v>
          </cell>
          <cell r="BA136">
            <v>256.39</v>
          </cell>
          <cell r="BB136">
            <v>-844.04</v>
          </cell>
          <cell r="BK136">
            <v>398641.93</v>
          </cell>
        </row>
        <row r="137">
          <cell r="AX137">
            <v>1701.14</v>
          </cell>
          <cell r="AY137">
            <v>969.18</v>
          </cell>
          <cell r="AZ137">
            <v>4009.71</v>
          </cell>
          <cell r="BA137">
            <v>39.409999999999997</v>
          </cell>
          <cell r="BB137">
            <v>37040.560000000005</v>
          </cell>
          <cell r="BC137">
            <v>18493.34</v>
          </cell>
          <cell r="BD137">
            <v>99306.299999999988</v>
          </cell>
          <cell r="BE137">
            <v>0</v>
          </cell>
          <cell r="BF137">
            <v>19576.66</v>
          </cell>
          <cell r="BG137">
            <v>22475.5</v>
          </cell>
          <cell r="BH137">
            <v>981.13</v>
          </cell>
          <cell r="BI137">
            <v>3907.2400000000002</v>
          </cell>
          <cell r="BJ137">
            <v>2497.73</v>
          </cell>
          <cell r="BK137">
            <v>210997.90000000002</v>
          </cell>
        </row>
        <row r="138">
          <cell r="AY138">
            <v>3051.1099999999997</v>
          </cell>
          <cell r="AZ138">
            <v>31043.39</v>
          </cell>
          <cell r="BA138">
            <v>51090.650000000009</v>
          </cell>
          <cell r="BB138">
            <v>182826.30000000005</v>
          </cell>
          <cell r="BC138">
            <v>130581.70999999999</v>
          </cell>
          <cell r="BD138">
            <v>149528.50999999998</v>
          </cell>
          <cell r="BE138">
            <v>13561.44</v>
          </cell>
          <cell r="BF138">
            <v>3201.8700000000003</v>
          </cell>
          <cell r="BG138">
            <v>9489.1999999999989</v>
          </cell>
          <cell r="BI138">
            <v>11703.66</v>
          </cell>
          <cell r="BK138">
            <v>586077.84</v>
          </cell>
        </row>
        <row r="139">
          <cell r="AY139">
            <v>6669.6600000000008</v>
          </cell>
          <cell r="AZ139">
            <v>1309.2999999999997</v>
          </cell>
          <cell r="BA139">
            <v>2352</v>
          </cell>
          <cell r="BB139">
            <v>37295.15</v>
          </cell>
          <cell r="BC139">
            <v>654.84</v>
          </cell>
          <cell r="BD139">
            <v>1318.43</v>
          </cell>
          <cell r="BE139">
            <v>2889.5099999999998</v>
          </cell>
          <cell r="BG139">
            <v>488.78</v>
          </cell>
          <cell r="BI139">
            <v>-530.69000000000005</v>
          </cell>
          <cell r="BJ139">
            <v>283.08000000000004</v>
          </cell>
          <cell r="BK139">
            <v>52730.06</v>
          </cell>
        </row>
        <row r="140">
          <cell r="AY140">
            <v>3440.03</v>
          </cell>
          <cell r="AZ140">
            <v>30266.989999999998</v>
          </cell>
          <cell r="BA140">
            <v>1670.43</v>
          </cell>
          <cell r="BB140">
            <v>56681.37000000001</v>
          </cell>
          <cell r="BC140">
            <v>134443.86000000002</v>
          </cell>
          <cell r="BD140">
            <v>69157.600000000006</v>
          </cell>
          <cell r="BE140">
            <v>13995.830000000005</v>
          </cell>
          <cell r="BF140">
            <v>18355.419999999998</v>
          </cell>
          <cell r="BG140">
            <v>42688.6</v>
          </cell>
          <cell r="BH140">
            <v>0</v>
          </cell>
          <cell r="BJ140">
            <v>1583.0900000000001</v>
          </cell>
          <cell r="BK140">
            <v>372283.22000000003</v>
          </cell>
        </row>
        <row r="141">
          <cell r="AY141">
            <v>35534.57</v>
          </cell>
          <cell r="AZ141">
            <v>3695.1799999999994</v>
          </cell>
          <cell r="BA141">
            <v>4391.2700000000004</v>
          </cell>
          <cell r="BB141">
            <v>-34472.69</v>
          </cell>
          <cell r="BC141">
            <v>-6748.5200000000023</v>
          </cell>
          <cell r="BG141">
            <v>32333.950000000004</v>
          </cell>
          <cell r="BH141">
            <v>28228.810000000005</v>
          </cell>
          <cell r="BI141">
            <v>56933.98</v>
          </cell>
          <cell r="BJ141">
            <v>7432.4600000000009</v>
          </cell>
          <cell r="BK141">
            <v>127329.01000000002</v>
          </cell>
        </row>
        <row r="142">
          <cell r="AY142">
            <v>5143.3899999999994</v>
          </cell>
          <cell r="AZ142">
            <v>26537.579999999998</v>
          </cell>
          <cell r="BA142">
            <v>165388.23000000004</v>
          </cell>
          <cell r="BB142">
            <v>-101100.22000000002</v>
          </cell>
          <cell r="BC142">
            <v>-8816.64</v>
          </cell>
          <cell r="BD142">
            <v>12123.35</v>
          </cell>
          <cell r="BE142">
            <v>0</v>
          </cell>
          <cell r="BK142">
            <v>99275.690000000031</v>
          </cell>
        </row>
        <row r="143">
          <cell r="AZ143">
            <v>1258.5600000000002</v>
          </cell>
          <cell r="BA143">
            <v>138543.62</v>
          </cell>
          <cell r="BB143">
            <v>51338.770000000004</v>
          </cell>
          <cell r="BC143">
            <v>83353.36</v>
          </cell>
          <cell r="BD143">
            <v>124914.69</v>
          </cell>
          <cell r="BE143">
            <v>2.0000000004074536E-2</v>
          </cell>
          <cell r="BF143">
            <v>572.96</v>
          </cell>
          <cell r="BG143">
            <v>1205.5999999999999</v>
          </cell>
          <cell r="BJ143">
            <v>9872.2599999999984</v>
          </cell>
          <cell r="BK143">
            <v>411059.84</v>
          </cell>
        </row>
        <row r="144">
          <cell r="AZ144">
            <v>41255.51</v>
          </cell>
          <cell r="BA144">
            <v>12072.77</v>
          </cell>
          <cell r="BB144">
            <v>271.20999999999992</v>
          </cell>
          <cell r="BC144">
            <v>8183.5800000000017</v>
          </cell>
          <cell r="BE144">
            <v>1119.99</v>
          </cell>
          <cell r="BG144">
            <v>2523.23</v>
          </cell>
          <cell r="BK144">
            <v>65426.29</v>
          </cell>
        </row>
        <row r="145">
          <cell r="AZ145">
            <v>44904.72</v>
          </cell>
          <cell r="BA145">
            <v>218435.58</v>
          </cell>
          <cell r="BB145">
            <v>19231.63</v>
          </cell>
          <cell r="BC145">
            <v>22637.809999999998</v>
          </cell>
          <cell r="BD145">
            <v>1473.3200000000004</v>
          </cell>
          <cell r="BE145">
            <v>9833.119999999999</v>
          </cell>
          <cell r="BF145">
            <v>1081.47</v>
          </cell>
          <cell r="BG145">
            <v>6830.75</v>
          </cell>
          <cell r="BK145">
            <v>324428.39999999997</v>
          </cell>
        </row>
        <row r="146">
          <cell r="AZ146">
            <v>11216.460000000003</v>
          </cell>
          <cell r="BA146">
            <v>226915.35</v>
          </cell>
          <cell r="BB146">
            <v>6952.8799999999992</v>
          </cell>
          <cell r="BC146">
            <v>10132.5</v>
          </cell>
          <cell r="BD146">
            <v>5669.5300000000007</v>
          </cell>
          <cell r="BE146">
            <v>36011.01</v>
          </cell>
          <cell r="BF146">
            <v>15107.61</v>
          </cell>
          <cell r="BG146">
            <v>199947.80000000002</v>
          </cell>
          <cell r="BH146">
            <v>16669.219999999998</v>
          </cell>
          <cell r="BI146">
            <v>1478.3799999999999</v>
          </cell>
          <cell r="BJ146">
            <v>47016.83</v>
          </cell>
          <cell r="BK146">
            <v>577117.56999999995</v>
          </cell>
        </row>
        <row r="147">
          <cell r="AZ147">
            <v>6222.12</v>
          </cell>
          <cell r="BA147">
            <v>72614.75999999998</v>
          </cell>
          <cell r="BB147">
            <v>43673.340000000018</v>
          </cell>
          <cell r="BC147">
            <v>79768.249999999971</v>
          </cell>
          <cell r="BD147">
            <v>109855.69</v>
          </cell>
          <cell r="BE147">
            <v>22616.04</v>
          </cell>
          <cell r="BF147">
            <v>49610.330000000009</v>
          </cell>
          <cell r="BG147">
            <v>84395.889999999985</v>
          </cell>
          <cell r="BH147">
            <v>26692.100000000002</v>
          </cell>
          <cell r="BI147">
            <v>42351.78</v>
          </cell>
          <cell r="BJ147">
            <v>335.26</v>
          </cell>
          <cell r="BK147">
            <v>538135.55999999994</v>
          </cell>
        </row>
        <row r="148">
          <cell r="AZ148">
            <v>52757.669999999984</v>
          </cell>
          <cell r="BA148">
            <v>182122.31</v>
          </cell>
          <cell r="BB148">
            <v>69231.899999999994</v>
          </cell>
          <cell r="BC148">
            <v>337110.45999999996</v>
          </cell>
          <cell r="BD148">
            <v>146552.98000000001</v>
          </cell>
          <cell r="BE148">
            <v>14617.939999999991</v>
          </cell>
          <cell r="BF148">
            <v>1791.9899999999998</v>
          </cell>
          <cell r="BH148">
            <v>2352.2800000000002</v>
          </cell>
          <cell r="BI148">
            <v>39.720000000000006</v>
          </cell>
          <cell r="BJ148">
            <v>1976.11</v>
          </cell>
          <cell r="BK148">
            <v>808553.35999999987</v>
          </cell>
        </row>
        <row r="149">
          <cell r="AZ149">
            <v>39387.929999999993</v>
          </cell>
          <cell r="BA149">
            <v>235373.07000000004</v>
          </cell>
          <cell r="BB149">
            <v>70183.150000000009</v>
          </cell>
          <cell r="BC149">
            <v>70958.23000000001</v>
          </cell>
          <cell r="BD149">
            <v>33523.600000000006</v>
          </cell>
          <cell r="BE149">
            <v>84852.560000000012</v>
          </cell>
          <cell r="BF149">
            <v>98108.030000000013</v>
          </cell>
          <cell r="BG149">
            <v>40943.810000000005</v>
          </cell>
          <cell r="BH149">
            <v>32282.14</v>
          </cell>
          <cell r="BI149">
            <v>33057.47</v>
          </cell>
          <cell r="BJ149">
            <v>17746.590000000004</v>
          </cell>
          <cell r="BK149">
            <v>756416.58000000007</v>
          </cell>
        </row>
        <row r="150">
          <cell r="AZ150">
            <v>12296.189999999999</v>
          </cell>
          <cell r="BA150">
            <v>420.35999999999996</v>
          </cell>
          <cell r="BB150">
            <v>75.03</v>
          </cell>
          <cell r="BC150">
            <v>74.19</v>
          </cell>
          <cell r="BD150">
            <v>75.47</v>
          </cell>
          <cell r="BE150">
            <v>79.3</v>
          </cell>
          <cell r="BF150">
            <v>75.47</v>
          </cell>
          <cell r="BG150">
            <v>75.47</v>
          </cell>
          <cell r="BH150">
            <v>4299.5999999999995</v>
          </cell>
          <cell r="BI150">
            <v>37180.93</v>
          </cell>
          <cell r="BJ150">
            <v>72233.99000000002</v>
          </cell>
          <cell r="BK150">
            <v>126886.00000000001</v>
          </cell>
        </row>
        <row r="151">
          <cell r="AZ151">
            <v>43882.770000000004</v>
          </cell>
          <cell r="BA151">
            <v>52494.27</v>
          </cell>
          <cell r="BB151">
            <v>7630.2</v>
          </cell>
          <cell r="BC151">
            <v>56665.07</v>
          </cell>
          <cell r="BD151">
            <v>129408.10999999999</v>
          </cell>
          <cell r="BE151">
            <v>33587.219999999987</v>
          </cell>
          <cell r="BF151">
            <v>191461.11000000002</v>
          </cell>
          <cell r="BG151">
            <v>154016.82999999999</v>
          </cell>
          <cell r="BH151">
            <v>68120.78</v>
          </cell>
          <cell r="BI151">
            <v>110970.62000000001</v>
          </cell>
          <cell r="BJ151">
            <v>58842.239999999998</v>
          </cell>
          <cell r="BK151">
            <v>907079.22</v>
          </cell>
        </row>
        <row r="152">
          <cell r="AZ152">
            <v>66990.240000000005</v>
          </cell>
          <cell r="BA152">
            <v>238818.62999999998</v>
          </cell>
          <cell r="BB152">
            <v>40453.899999999994</v>
          </cell>
          <cell r="BC152">
            <v>136323.75</v>
          </cell>
          <cell r="BD152">
            <v>93966.98</v>
          </cell>
          <cell r="BE152">
            <v>8617.9400000000023</v>
          </cell>
          <cell r="BF152">
            <v>36433.69</v>
          </cell>
          <cell r="BG152">
            <v>7003.13</v>
          </cell>
          <cell r="BH152">
            <v>426.45000000000027</v>
          </cell>
          <cell r="BK152">
            <v>629034.70999999985</v>
          </cell>
        </row>
        <row r="153">
          <cell r="AZ153">
            <v>43217.86</v>
          </cell>
          <cell r="BA153">
            <v>4518.1299999999974</v>
          </cell>
          <cell r="BB153">
            <v>281.64</v>
          </cell>
          <cell r="BC153">
            <v>2658.32</v>
          </cell>
          <cell r="BD153">
            <v>9561.1</v>
          </cell>
          <cell r="BE153">
            <v>14377.079999999998</v>
          </cell>
          <cell r="BF153">
            <v>52150.599999999991</v>
          </cell>
          <cell r="BG153">
            <v>148204.97</v>
          </cell>
          <cell r="BH153">
            <v>73331.090000000011</v>
          </cell>
          <cell r="BI153">
            <v>155196.10000000003</v>
          </cell>
          <cell r="BJ153">
            <v>4477.4299999999994</v>
          </cell>
          <cell r="BK153">
            <v>507974.32</v>
          </cell>
        </row>
        <row r="154">
          <cell r="AZ154">
            <v>6519.92</v>
          </cell>
          <cell r="BA154">
            <v>48430.91</v>
          </cell>
          <cell r="BB154">
            <v>39533.560000000005</v>
          </cell>
          <cell r="BC154">
            <v>74700.290000000008</v>
          </cell>
          <cell r="BD154">
            <v>86264.94</v>
          </cell>
          <cell r="BE154">
            <v>10950.309999999994</v>
          </cell>
          <cell r="BF154">
            <v>49964.51</v>
          </cell>
          <cell r="BG154">
            <v>26570.550000000003</v>
          </cell>
          <cell r="BH154">
            <v>20457.620000000003</v>
          </cell>
          <cell r="BI154">
            <v>616.68000000000006</v>
          </cell>
          <cell r="BJ154">
            <v>895.56000000000006</v>
          </cell>
          <cell r="BK154">
            <v>364904.85</v>
          </cell>
        </row>
        <row r="155">
          <cell r="BA155">
            <v>74237.63</v>
          </cell>
          <cell r="BB155">
            <v>77815.809999999983</v>
          </cell>
          <cell r="BC155">
            <v>64340.259999999995</v>
          </cell>
          <cell r="BD155">
            <v>102206.90999999999</v>
          </cell>
          <cell r="BE155">
            <v>79932.25</v>
          </cell>
          <cell r="BF155">
            <v>208089.69999999998</v>
          </cell>
          <cell r="BG155">
            <v>134992.73000000004</v>
          </cell>
          <cell r="BH155">
            <v>142936.66999999998</v>
          </cell>
          <cell r="BI155">
            <v>108703.10000000002</v>
          </cell>
          <cell r="BJ155">
            <v>168880.23</v>
          </cell>
          <cell r="BK155">
            <v>1162135.29</v>
          </cell>
        </row>
        <row r="156">
          <cell r="BA156">
            <v>44972.34</v>
          </cell>
          <cell r="BB156">
            <v>10190.510000000002</v>
          </cell>
          <cell r="BC156">
            <v>66856.479999999996</v>
          </cell>
          <cell r="BD156">
            <v>43208.840000000004</v>
          </cell>
          <cell r="BE156">
            <v>-42788.950000000004</v>
          </cell>
          <cell r="BF156">
            <v>909.91000000000008</v>
          </cell>
          <cell r="BG156">
            <v>24961.089999999993</v>
          </cell>
          <cell r="BH156">
            <v>35453.08</v>
          </cell>
          <cell r="BI156">
            <v>39762.480000000003</v>
          </cell>
          <cell r="BJ156">
            <v>264776.08</v>
          </cell>
          <cell r="BK156">
            <v>488301.86</v>
          </cell>
        </row>
        <row r="157">
          <cell r="BA157">
            <v>19939.77</v>
          </cell>
          <cell r="BB157">
            <v>352.97</v>
          </cell>
          <cell r="BC157">
            <v>16111.63</v>
          </cell>
          <cell r="BD157">
            <v>101987.76000000001</v>
          </cell>
          <cell r="BE157">
            <v>61054.420000000013</v>
          </cell>
          <cell r="BF157">
            <v>77532.52</v>
          </cell>
          <cell r="BG157">
            <v>73097.290000000008</v>
          </cell>
          <cell r="BK157">
            <v>350076.36</v>
          </cell>
        </row>
        <row r="158">
          <cell r="BA158">
            <v>8536.7200000000012</v>
          </cell>
          <cell r="BB158">
            <v>12324.970000000001</v>
          </cell>
          <cell r="BC158">
            <v>31392.029999999995</v>
          </cell>
          <cell r="BD158">
            <v>206475.49000000005</v>
          </cell>
          <cell r="BE158">
            <v>59310.239999999998</v>
          </cell>
          <cell r="BF158">
            <v>8048.2200000000012</v>
          </cell>
          <cell r="BG158">
            <v>105745.58000000002</v>
          </cell>
          <cell r="BH158">
            <v>15964.73</v>
          </cell>
          <cell r="BI158">
            <v>65393.279999999999</v>
          </cell>
          <cell r="BJ158">
            <v>12655.14</v>
          </cell>
          <cell r="BK158">
            <v>525846.4</v>
          </cell>
        </row>
        <row r="159">
          <cell r="BA159">
            <v>81984.000000000015</v>
          </cell>
          <cell r="BB159">
            <v>8231.6</v>
          </cell>
          <cell r="BC159">
            <v>32090.39</v>
          </cell>
          <cell r="BD159">
            <v>42805.68</v>
          </cell>
          <cell r="BE159">
            <v>0</v>
          </cell>
          <cell r="BK159">
            <v>165111.67000000001</v>
          </cell>
        </row>
        <row r="160">
          <cell r="BA160">
            <v>133749.49999999997</v>
          </cell>
          <cell r="BB160">
            <v>63269.049999999996</v>
          </cell>
          <cell r="BC160">
            <v>142399.50999999998</v>
          </cell>
          <cell r="BD160">
            <v>225365.59999999998</v>
          </cell>
          <cell r="BE160">
            <v>37191.040000000008</v>
          </cell>
          <cell r="BF160">
            <v>9459.17</v>
          </cell>
          <cell r="BG160">
            <v>13016.440000000002</v>
          </cell>
          <cell r="BK160">
            <v>624450.31000000006</v>
          </cell>
        </row>
        <row r="161">
          <cell r="BA161">
            <v>109997.75</v>
          </cell>
          <cell r="BB161">
            <v>21057.420000000002</v>
          </cell>
          <cell r="BC161">
            <v>-1683.1700000000003</v>
          </cell>
          <cell r="BE161">
            <v>3875.02</v>
          </cell>
          <cell r="BK161">
            <v>133247.01999999999</v>
          </cell>
        </row>
        <row r="162">
          <cell r="BB162">
            <v>33404.32</v>
          </cell>
          <cell r="BC162">
            <v>129718.5</v>
          </cell>
          <cell r="BD162">
            <v>23584.829999999998</v>
          </cell>
          <cell r="BE162">
            <v>28487.09</v>
          </cell>
          <cell r="BF162">
            <v>104182.36000000002</v>
          </cell>
          <cell r="BG162">
            <v>52542.270000000004</v>
          </cell>
          <cell r="BH162">
            <v>14.450000000000291</v>
          </cell>
          <cell r="BI162">
            <v>2981.8900000000003</v>
          </cell>
          <cell r="BJ162">
            <v>2410.79</v>
          </cell>
          <cell r="BK162">
            <v>377326.5</v>
          </cell>
        </row>
        <row r="163">
          <cell r="BB163">
            <v>4524.33</v>
          </cell>
          <cell r="BC163">
            <v>65668.960000000006</v>
          </cell>
          <cell r="BD163">
            <v>271472.79000000004</v>
          </cell>
          <cell r="BE163">
            <v>168068.56999999992</v>
          </cell>
          <cell r="BF163">
            <v>104797.65999999999</v>
          </cell>
          <cell r="BG163">
            <v>87713.150000000009</v>
          </cell>
          <cell r="BH163">
            <v>0</v>
          </cell>
          <cell r="BI163">
            <v>5069.7300000000005</v>
          </cell>
          <cell r="BJ163">
            <v>27779.13</v>
          </cell>
          <cell r="BK163">
            <v>735094.32000000007</v>
          </cell>
        </row>
        <row r="164">
          <cell r="BB164">
            <v>54640.700000000004</v>
          </cell>
          <cell r="BC164">
            <v>38509.880000000005</v>
          </cell>
          <cell r="BD164">
            <v>263555.26</v>
          </cell>
          <cell r="BE164">
            <v>116860.22000000002</v>
          </cell>
          <cell r="BF164">
            <v>48325.849999999991</v>
          </cell>
          <cell r="BG164">
            <v>128028.58</v>
          </cell>
          <cell r="BH164">
            <v>0</v>
          </cell>
          <cell r="BI164">
            <v>10358.780000000001</v>
          </cell>
          <cell r="BK164">
            <v>660279.27</v>
          </cell>
        </row>
        <row r="165">
          <cell r="BB165">
            <v>131614.61999999997</v>
          </cell>
          <cell r="BC165">
            <v>16103.19</v>
          </cell>
          <cell r="BK165">
            <v>147717.80999999997</v>
          </cell>
        </row>
        <row r="166">
          <cell r="BC166">
            <v>25327.040000000001</v>
          </cell>
          <cell r="BD166">
            <v>77961.12000000001</v>
          </cell>
          <cell r="BE166">
            <v>25865.889999999996</v>
          </cell>
          <cell r="BF166">
            <v>41352.320000000007</v>
          </cell>
          <cell r="BG166">
            <v>77495.649999999994</v>
          </cell>
          <cell r="BH166">
            <v>30190.01</v>
          </cell>
          <cell r="BI166">
            <v>371.8</v>
          </cell>
          <cell r="BJ166">
            <v>1477.69</v>
          </cell>
          <cell r="BK166">
            <v>280041.51999999996</v>
          </cell>
        </row>
        <row r="167">
          <cell r="BC167">
            <v>3461.8299999999995</v>
          </cell>
          <cell r="BD167">
            <v>20.37</v>
          </cell>
          <cell r="BE167">
            <v>21.4</v>
          </cell>
          <cell r="BF167">
            <v>4137.1100000000006</v>
          </cell>
          <cell r="BG167">
            <v>44.59</v>
          </cell>
          <cell r="BH167">
            <v>11656.990000000002</v>
          </cell>
          <cell r="BI167">
            <v>42405.240000000005</v>
          </cell>
          <cell r="BJ167">
            <v>330004.82</v>
          </cell>
          <cell r="BK167">
            <v>391752.35000000003</v>
          </cell>
        </row>
        <row r="168">
          <cell r="BC168">
            <v>29164.620000000003</v>
          </cell>
          <cell r="BD168">
            <v>128738.20999999999</v>
          </cell>
          <cell r="BE168">
            <v>12688.410000000002</v>
          </cell>
          <cell r="BF168">
            <v>1319.01</v>
          </cell>
          <cell r="BG168">
            <v>65342.720000000001</v>
          </cell>
          <cell r="BH168">
            <v>1760.5500000000002</v>
          </cell>
          <cell r="BI168">
            <v>15755.33</v>
          </cell>
          <cell r="BJ168">
            <v>29693.15</v>
          </cell>
          <cell r="BK168">
            <v>284462</v>
          </cell>
        </row>
        <row r="169">
          <cell r="BC169">
            <v>28721.489999999998</v>
          </cell>
          <cell r="BD169">
            <v>55112.920000000013</v>
          </cell>
          <cell r="BE169">
            <v>35589.770000000011</v>
          </cell>
          <cell r="BF169">
            <v>121185.67</v>
          </cell>
          <cell r="BG169">
            <v>92525.119999999995</v>
          </cell>
          <cell r="BH169">
            <v>-3924.6800000000003</v>
          </cell>
          <cell r="BI169">
            <v>22894.829999999998</v>
          </cell>
          <cell r="BK169">
            <v>352105.12000000005</v>
          </cell>
        </row>
        <row r="170">
          <cell r="BD170">
            <v>10210.43</v>
          </cell>
          <cell r="BE170">
            <v>63.110000000000582</v>
          </cell>
          <cell r="BF170">
            <v>21691.759999999998</v>
          </cell>
          <cell r="BG170">
            <v>83126.81</v>
          </cell>
          <cell r="BH170">
            <v>346.52999999999952</v>
          </cell>
          <cell r="BI170">
            <v>52553.859999999993</v>
          </cell>
          <cell r="BJ170">
            <v>91951.470000000016</v>
          </cell>
          <cell r="BK170">
            <v>259943.97000000003</v>
          </cell>
        </row>
        <row r="171">
          <cell r="BD171">
            <v>10477.26</v>
          </cell>
          <cell r="BE171">
            <v>3987.17</v>
          </cell>
          <cell r="BF171">
            <v>84.710000000000008</v>
          </cell>
          <cell r="BG171">
            <v>17060.22</v>
          </cell>
          <cell r="BH171">
            <v>50366.18</v>
          </cell>
          <cell r="BI171">
            <v>77683.16</v>
          </cell>
          <cell r="BJ171">
            <v>101219.86000000003</v>
          </cell>
          <cell r="BK171">
            <v>260878.56000000006</v>
          </cell>
        </row>
        <row r="172">
          <cell r="BD172">
            <v>15264.220000000001</v>
          </cell>
          <cell r="BE172">
            <v>21073.82</v>
          </cell>
          <cell r="BF172">
            <v>56256.02</v>
          </cell>
          <cell r="BG172">
            <v>103460.12999999999</v>
          </cell>
          <cell r="BH172">
            <v>11400.449999999997</v>
          </cell>
          <cell r="BI172">
            <v>25376.05</v>
          </cell>
          <cell r="BJ172">
            <v>5029.5</v>
          </cell>
          <cell r="BK172">
            <v>237860.19</v>
          </cell>
        </row>
        <row r="173">
          <cell r="BD173">
            <v>22941.319999999996</v>
          </cell>
          <cell r="BE173">
            <v>141.82</v>
          </cell>
          <cell r="BF173">
            <v>134.96</v>
          </cell>
          <cell r="BG173">
            <v>59081.109999999993</v>
          </cell>
          <cell r="BH173">
            <v>64833.350000000006</v>
          </cell>
          <cell r="BI173">
            <v>72457.300000000017</v>
          </cell>
          <cell r="BJ173">
            <v>104130.47</v>
          </cell>
          <cell r="BK173">
            <v>323720.33</v>
          </cell>
        </row>
        <row r="174">
          <cell r="BD174">
            <v>9754.1400000000012</v>
          </cell>
          <cell r="BE174">
            <v>18845.04</v>
          </cell>
          <cell r="BF174">
            <v>15622.069999999998</v>
          </cell>
          <cell r="BG174">
            <v>123964.72</v>
          </cell>
          <cell r="BH174">
            <v>30260.61</v>
          </cell>
          <cell r="BI174">
            <v>25592.3</v>
          </cell>
          <cell r="BJ174">
            <v>9229.3299999999981</v>
          </cell>
          <cell r="BK174">
            <v>233268.21</v>
          </cell>
        </row>
        <row r="175">
          <cell r="BE175">
            <v>59022.37999999999</v>
          </cell>
          <cell r="BF175">
            <v>64746.130000000005</v>
          </cell>
          <cell r="BG175">
            <v>144073.24000000002</v>
          </cell>
          <cell r="BH175">
            <v>166548.01999999999</v>
          </cell>
          <cell r="BI175">
            <v>186317.82</v>
          </cell>
          <cell r="BJ175">
            <v>152052.60999999999</v>
          </cell>
          <cell r="BK175">
            <v>772760.20000000007</v>
          </cell>
        </row>
        <row r="176">
          <cell r="BE176">
            <v>52322.240000000005</v>
          </cell>
          <cell r="BF176">
            <v>49989.070000000014</v>
          </cell>
          <cell r="BG176">
            <v>325402.23</v>
          </cell>
          <cell r="BH176">
            <v>31770.720000000016</v>
          </cell>
          <cell r="BI176">
            <v>14952.35</v>
          </cell>
          <cell r="BJ176">
            <v>51752.800000000003</v>
          </cell>
          <cell r="BK176">
            <v>526189.41</v>
          </cell>
        </row>
        <row r="177">
          <cell r="BE177">
            <v>3790.7400000000002</v>
          </cell>
          <cell r="BF177">
            <v>43291.360000000001</v>
          </cell>
          <cell r="BG177">
            <v>86270.690000000017</v>
          </cell>
          <cell r="BH177">
            <v>78123.440000000017</v>
          </cell>
          <cell r="BI177">
            <v>189414.78999999998</v>
          </cell>
          <cell r="BJ177">
            <v>242976.2</v>
          </cell>
          <cell r="BK177">
            <v>643867.22</v>
          </cell>
        </row>
        <row r="178">
          <cell r="BF178">
            <v>8229.19</v>
          </cell>
          <cell r="BG178">
            <v>5918.9299999999994</v>
          </cell>
          <cell r="BH178">
            <v>20755.349999999999</v>
          </cell>
          <cell r="BI178">
            <v>6543.7000000000007</v>
          </cell>
          <cell r="BJ178">
            <v>2275.4300000000003</v>
          </cell>
          <cell r="BK178">
            <v>43722.6</v>
          </cell>
        </row>
        <row r="179">
          <cell r="BG179">
            <v>225558.58</v>
          </cell>
          <cell r="BH179">
            <v>128867.78</v>
          </cell>
          <cell r="BI179">
            <v>61084.98000000001</v>
          </cell>
          <cell r="BJ179">
            <v>4879.4299999999994</v>
          </cell>
          <cell r="BK179">
            <v>420390.76999999996</v>
          </cell>
        </row>
        <row r="180">
          <cell r="BG180">
            <v>53763.64</v>
          </cell>
          <cell r="BH180">
            <v>138126.76</v>
          </cell>
          <cell r="BI180">
            <v>217004.86999999997</v>
          </cell>
          <cell r="BJ180">
            <v>48891.960000000006</v>
          </cell>
          <cell r="BK180">
            <v>457787.23000000004</v>
          </cell>
        </row>
        <row r="181">
          <cell r="BH181">
            <v>22501.850000000002</v>
          </cell>
          <cell r="BI181">
            <v>45670.2</v>
          </cell>
          <cell r="BJ181">
            <v>48454.43</v>
          </cell>
          <cell r="BK181">
            <v>116626.48000000001</v>
          </cell>
        </row>
        <row r="182">
          <cell r="G182">
            <v>117409.84</v>
          </cell>
          <cell r="H182">
            <v>284477.37</v>
          </cell>
          <cell r="I182">
            <v>1097213.75</v>
          </cell>
          <cell r="J182">
            <v>807564.62999999989</v>
          </cell>
          <cell r="K182">
            <v>1067237.1799999997</v>
          </cell>
          <cell r="L182">
            <v>2072110.1</v>
          </cell>
          <cell r="M182">
            <v>1727656.98</v>
          </cell>
          <cell r="N182">
            <v>3627989.3800000008</v>
          </cell>
          <cell r="O182">
            <v>1425658.8699999996</v>
          </cell>
          <cell r="P182">
            <v>1444157.6000000006</v>
          </cell>
          <cell r="Q182">
            <v>2403394.8599999994</v>
          </cell>
          <cell r="R182">
            <v>2011738.5800000005</v>
          </cell>
          <cell r="S182">
            <v>1943953.0599999998</v>
          </cell>
          <cell r="T182">
            <v>2250374.5900000003</v>
          </cell>
          <cell r="U182">
            <v>1550858.9100000008</v>
          </cell>
          <cell r="V182">
            <v>1175521.9200000002</v>
          </cell>
          <cell r="W182">
            <v>1012605.4999999998</v>
          </cell>
          <cell r="X182">
            <v>1275410.3500000001</v>
          </cell>
          <cell r="Y182">
            <v>769173.1100000001</v>
          </cell>
          <cell r="Z182">
            <v>1147778.6900000004</v>
          </cell>
          <cell r="AA182">
            <v>255488.11000000002</v>
          </cell>
          <cell r="AB182">
            <v>4112.3999999999996</v>
          </cell>
          <cell r="AC182">
            <v>495050.05</v>
          </cell>
          <cell r="AD182">
            <v>744819.51</v>
          </cell>
          <cell r="AE182">
            <v>849891.33999999985</v>
          </cell>
          <cell r="AF182">
            <v>803129.49000000011</v>
          </cell>
          <cell r="AG182">
            <v>702186.80999999994</v>
          </cell>
          <cell r="AH182">
            <v>690462.34000000008</v>
          </cell>
          <cell r="AI182">
            <v>770788.82000000007</v>
          </cell>
          <cell r="AJ182">
            <v>631320.68000000005</v>
          </cell>
          <cell r="AK182">
            <v>516591.51000000007</v>
          </cell>
          <cell r="AL182">
            <v>622100.71</v>
          </cell>
          <cell r="AM182">
            <v>87899.76</v>
          </cell>
          <cell r="AN182">
            <v>159474.92000000001</v>
          </cell>
          <cell r="AO182">
            <v>597652.93000000005</v>
          </cell>
          <cell r="AP182">
            <v>813839.21000000031</v>
          </cell>
          <cell r="AQ182">
            <v>1424077.3299999996</v>
          </cell>
          <cell r="AR182">
            <v>1641720.04</v>
          </cell>
          <cell r="AS182">
            <v>1426867.12</v>
          </cell>
          <cell r="AT182">
            <v>1989168.97</v>
          </cell>
          <cell r="AU182">
            <v>2964493.9199999995</v>
          </cell>
          <cell r="AV182">
            <v>1286914.1099999999</v>
          </cell>
          <cell r="AW182">
            <v>1403700.8499999999</v>
          </cell>
          <cell r="AX182">
            <v>1765645.7999999996</v>
          </cell>
          <cell r="AY182">
            <v>226730.11</v>
          </cell>
          <cell r="AZ182">
            <v>723969.55</v>
          </cell>
          <cell r="BA182">
            <v>2846398.8100000005</v>
          </cell>
          <cell r="BB182">
            <v>755057.75999999989</v>
          </cell>
          <cell r="BC182">
            <v>1883102.0999999999</v>
          </cell>
          <cell r="BD182">
            <v>2770491.84</v>
          </cell>
          <cell r="BE182">
            <v>1049619.56</v>
          </cell>
          <cell r="BF182">
            <v>1565567.5300000003</v>
          </cell>
          <cell r="BG182">
            <v>2879170.2100000004</v>
          </cell>
          <cell r="BH182">
            <v>1247606.79</v>
          </cell>
          <cell r="BI182">
            <v>1741149.79</v>
          </cell>
          <cell r="BJ182">
            <v>1925713.1499999997</v>
          </cell>
          <cell r="BK182">
            <v>71474259.200000018</v>
          </cell>
        </row>
      </sheetData>
      <sheetData sheetId="6"/>
      <sheetData sheetId="7">
        <row r="1">
          <cell r="A1" t="str">
            <v>BUS_MO_L</v>
          </cell>
          <cell r="B1" t="str">
            <v>EFF_DTE_L</v>
          </cell>
          <cell r="C1" t="str">
            <v>INTRNL_CO_ID_C</v>
          </cell>
          <cell r="D1" t="str">
            <v>BUS_ID_C</v>
          </cell>
          <cell r="E1" t="str">
            <v>AFUDC_ANL_DBT_RT_F</v>
          </cell>
          <cell r="F1" t="str">
            <v>AFUDC_ANL_EQT_RT_F</v>
          </cell>
        </row>
        <row r="2">
          <cell r="A2">
            <v>41244</v>
          </cell>
          <cell r="B2">
            <v>41244</v>
          </cell>
          <cell r="C2" t="str">
            <v>01</v>
          </cell>
          <cell r="D2" t="str">
            <v>G</v>
          </cell>
          <cell r="E2">
            <v>2.2000000000000001E-3</v>
          </cell>
          <cell r="F2">
            <v>4.4000000000000003E-3</v>
          </cell>
        </row>
        <row r="3">
          <cell r="A3">
            <v>41214</v>
          </cell>
          <cell r="B3">
            <v>41214</v>
          </cell>
          <cell r="C3" t="str">
            <v>01</v>
          </cell>
          <cell r="D3" t="str">
            <v>G</v>
          </cell>
          <cell r="E3">
            <v>2.0999999999999999E-3</v>
          </cell>
          <cell r="F3">
            <v>4.4000000000000003E-3</v>
          </cell>
        </row>
        <row r="4">
          <cell r="A4">
            <v>41183</v>
          </cell>
          <cell r="B4">
            <v>41183</v>
          </cell>
          <cell r="C4" t="str">
            <v>02</v>
          </cell>
          <cell r="D4" t="str">
            <v>G</v>
          </cell>
          <cell r="E4">
            <v>2.0999999999999999E-3</v>
          </cell>
          <cell r="F4">
            <v>4.4000000000000003E-3</v>
          </cell>
        </row>
        <row r="5">
          <cell r="A5">
            <v>41153</v>
          </cell>
          <cell r="B5">
            <v>41153</v>
          </cell>
          <cell r="C5" t="str">
            <v>02</v>
          </cell>
          <cell r="D5" t="str">
            <v>G</v>
          </cell>
          <cell r="E5">
            <v>1.9E-3</v>
          </cell>
          <cell r="F5">
            <v>4.0000000000000001E-3</v>
          </cell>
        </row>
        <row r="6">
          <cell r="A6">
            <v>41122</v>
          </cell>
          <cell r="B6">
            <v>41122</v>
          </cell>
          <cell r="C6" t="str">
            <v>02</v>
          </cell>
          <cell r="D6" t="str">
            <v>G</v>
          </cell>
          <cell r="E6">
            <v>1.9E-3</v>
          </cell>
          <cell r="F6">
            <v>4.0000000000000001E-3</v>
          </cell>
        </row>
        <row r="7">
          <cell r="A7">
            <v>41091</v>
          </cell>
          <cell r="B7">
            <v>41091</v>
          </cell>
          <cell r="C7" t="str">
            <v>02</v>
          </cell>
          <cell r="D7" t="str">
            <v>G</v>
          </cell>
          <cell r="E7">
            <v>2E-3</v>
          </cell>
          <cell r="F7">
            <v>4.1999999999999997E-3</v>
          </cell>
        </row>
        <row r="8">
          <cell r="A8">
            <v>41061</v>
          </cell>
          <cell r="B8">
            <v>41061</v>
          </cell>
          <cell r="C8" t="str">
            <v>02</v>
          </cell>
          <cell r="D8" t="str">
            <v>G</v>
          </cell>
          <cell r="E8">
            <v>1.9E-3</v>
          </cell>
          <cell r="F8">
            <v>4.0000000000000001E-3</v>
          </cell>
        </row>
        <row r="9">
          <cell r="A9">
            <v>41030</v>
          </cell>
          <cell r="B9">
            <v>41030</v>
          </cell>
          <cell r="C9" t="str">
            <v>02</v>
          </cell>
          <cell r="D9" t="str">
            <v>G</v>
          </cell>
          <cell r="E9">
            <v>1.9E-3</v>
          </cell>
          <cell r="F9">
            <v>3.8999999999999998E-3</v>
          </cell>
        </row>
        <row r="10">
          <cell r="A10">
            <v>41000</v>
          </cell>
          <cell r="B10">
            <v>41000</v>
          </cell>
          <cell r="C10" t="str">
            <v>02</v>
          </cell>
          <cell r="D10" t="str">
            <v>G</v>
          </cell>
          <cell r="E10">
            <v>1.9E-3</v>
          </cell>
          <cell r="F10">
            <v>4.0000000000000001E-3</v>
          </cell>
        </row>
        <row r="11">
          <cell r="A11">
            <v>40969</v>
          </cell>
          <cell r="B11">
            <v>40969</v>
          </cell>
          <cell r="C11" t="str">
            <v>02</v>
          </cell>
          <cell r="D11" t="str">
            <v>G</v>
          </cell>
          <cell r="E11">
            <v>1.9E-3</v>
          </cell>
          <cell r="F11">
            <v>4.0000000000000001E-3</v>
          </cell>
        </row>
        <row r="12">
          <cell r="A12">
            <v>40940</v>
          </cell>
          <cell r="B12">
            <v>40940</v>
          </cell>
          <cell r="C12" t="str">
            <v>02</v>
          </cell>
          <cell r="D12" t="str">
            <v>G</v>
          </cell>
          <cell r="E12">
            <v>1.6999999999999999E-3</v>
          </cell>
          <cell r="F12">
            <v>3.3999999999999998E-3</v>
          </cell>
        </row>
        <row r="13">
          <cell r="A13">
            <v>40909</v>
          </cell>
          <cell r="B13">
            <v>40909</v>
          </cell>
          <cell r="C13" t="str">
            <v>02</v>
          </cell>
          <cell r="D13" t="str">
            <v>G</v>
          </cell>
          <cell r="E13">
            <v>2.2000000000000001E-3</v>
          </cell>
          <cell r="F13">
            <v>4.4999999999999997E-3</v>
          </cell>
        </row>
        <row r="14">
          <cell r="A14">
            <v>40878</v>
          </cell>
          <cell r="B14">
            <v>40878</v>
          </cell>
          <cell r="C14" t="str">
            <v>02</v>
          </cell>
          <cell r="D14" t="str">
            <v>G</v>
          </cell>
          <cell r="E14">
            <v>4.0000000000000002E-4</v>
          </cell>
          <cell r="F14">
            <v>1E-4</v>
          </cell>
        </row>
        <row r="15">
          <cell r="A15">
            <v>40848</v>
          </cell>
          <cell r="B15">
            <v>40848</v>
          </cell>
          <cell r="C15" t="str">
            <v>02</v>
          </cell>
          <cell r="D15" t="str">
            <v>G</v>
          </cell>
          <cell r="E15">
            <v>4.0000000000000002E-4</v>
          </cell>
          <cell r="F15">
            <v>1E-4</v>
          </cell>
        </row>
        <row r="16">
          <cell r="A16">
            <v>40817</v>
          </cell>
          <cell r="B16">
            <v>40817</v>
          </cell>
          <cell r="C16" t="str">
            <v>02</v>
          </cell>
          <cell r="D16" t="str">
            <v>G</v>
          </cell>
          <cell r="E16">
            <v>4.0000000000000002E-4</v>
          </cell>
          <cell r="F16">
            <v>1E-4</v>
          </cell>
        </row>
        <row r="17">
          <cell r="A17">
            <v>40787</v>
          </cell>
          <cell r="B17">
            <v>40787</v>
          </cell>
          <cell r="C17" t="str">
            <v>02</v>
          </cell>
          <cell r="D17" t="str">
            <v>G</v>
          </cell>
          <cell r="E17">
            <v>4.0000000000000002E-4</v>
          </cell>
          <cell r="F17">
            <v>1E-4</v>
          </cell>
        </row>
        <row r="18">
          <cell r="A18">
            <v>40756</v>
          </cell>
          <cell r="B18">
            <v>40756</v>
          </cell>
          <cell r="C18" t="str">
            <v>02</v>
          </cell>
          <cell r="D18" t="str">
            <v>G</v>
          </cell>
          <cell r="E18">
            <v>4.0000000000000002E-4</v>
          </cell>
          <cell r="F18">
            <v>1E-4</v>
          </cell>
        </row>
        <row r="19">
          <cell r="A19">
            <v>40725</v>
          </cell>
          <cell r="B19">
            <v>40725</v>
          </cell>
          <cell r="C19" t="str">
            <v>02</v>
          </cell>
          <cell r="D19" t="str">
            <v>G</v>
          </cell>
          <cell r="E19">
            <v>4.0000000000000002E-4</v>
          </cell>
          <cell r="F19">
            <v>1E-4</v>
          </cell>
        </row>
        <row r="20">
          <cell r="A20">
            <v>40695</v>
          </cell>
          <cell r="B20">
            <v>40695</v>
          </cell>
          <cell r="C20" t="str">
            <v>02</v>
          </cell>
          <cell r="D20" t="str">
            <v>G</v>
          </cell>
          <cell r="E20">
            <v>4.0000000000000002E-4</v>
          </cell>
          <cell r="F20">
            <v>1E-4</v>
          </cell>
        </row>
        <row r="21">
          <cell r="A21">
            <v>40664</v>
          </cell>
          <cell r="B21">
            <v>40664</v>
          </cell>
          <cell r="C21" t="str">
            <v>02</v>
          </cell>
          <cell r="D21" t="str">
            <v>G</v>
          </cell>
          <cell r="E21">
            <v>4.0000000000000002E-4</v>
          </cell>
          <cell r="F21">
            <v>1E-4</v>
          </cell>
        </row>
        <row r="22">
          <cell r="A22">
            <v>40634</v>
          </cell>
          <cell r="B22">
            <v>40634</v>
          </cell>
          <cell r="C22" t="str">
            <v>02</v>
          </cell>
          <cell r="D22" t="str">
            <v>G</v>
          </cell>
          <cell r="E22">
            <v>4.0000000000000002E-4</v>
          </cell>
          <cell r="F22">
            <v>1E-4</v>
          </cell>
        </row>
        <row r="23">
          <cell r="A23">
            <v>40603</v>
          </cell>
          <cell r="B23">
            <v>40603</v>
          </cell>
          <cell r="C23" t="str">
            <v>02</v>
          </cell>
          <cell r="D23" t="str">
            <v>G</v>
          </cell>
          <cell r="E23">
            <v>4.0000000000000002E-4</v>
          </cell>
          <cell r="F23">
            <v>1E-4</v>
          </cell>
        </row>
        <row r="24">
          <cell r="A24">
            <v>40575</v>
          </cell>
          <cell r="B24">
            <v>40575</v>
          </cell>
          <cell r="C24" t="str">
            <v>02</v>
          </cell>
          <cell r="D24" t="str">
            <v>G</v>
          </cell>
          <cell r="E24">
            <v>4.0000000000000002E-4</v>
          </cell>
          <cell r="F24">
            <v>1E-4</v>
          </cell>
        </row>
        <row r="25">
          <cell r="A25">
            <v>40544</v>
          </cell>
          <cell r="B25">
            <v>40544</v>
          </cell>
          <cell r="C25" t="str">
            <v>02</v>
          </cell>
          <cell r="D25" t="str">
            <v>G</v>
          </cell>
          <cell r="E25">
            <v>4.0000000000000002E-4</v>
          </cell>
          <cell r="F25">
            <v>1E-4</v>
          </cell>
        </row>
        <row r="26">
          <cell r="A26">
            <v>40513</v>
          </cell>
          <cell r="B26">
            <v>40513</v>
          </cell>
          <cell r="C26" t="str">
            <v>02</v>
          </cell>
          <cell r="D26" t="str">
            <v>G</v>
          </cell>
          <cell r="E26">
            <v>2.9999999999999997E-4</v>
          </cell>
          <cell r="F26">
            <v>0</v>
          </cell>
        </row>
        <row r="27">
          <cell r="A27">
            <v>40483</v>
          </cell>
          <cell r="B27">
            <v>40483</v>
          </cell>
          <cell r="C27" t="str">
            <v>02</v>
          </cell>
          <cell r="D27" t="str">
            <v>G</v>
          </cell>
          <cell r="E27">
            <v>2.9999999999999997E-4</v>
          </cell>
          <cell r="F27">
            <v>0</v>
          </cell>
        </row>
        <row r="28">
          <cell r="A28">
            <v>40452</v>
          </cell>
          <cell r="B28">
            <v>40452</v>
          </cell>
          <cell r="C28" t="str">
            <v>02</v>
          </cell>
          <cell r="D28" t="str">
            <v>G</v>
          </cell>
          <cell r="E28">
            <v>2.9999999999999997E-4</v>
          </cell>
          <cell r="F28">
            <v>0</v>
          </cell>
        </row>
        <row r="29">
          <cell r="A29">
            <v>40422</v>
          </cell>
          <cell r="B29">
            <v>40422</v>
          </cell>
          <cell r="C29" t="str">
            <v>02</v>
          </cell>
          <cell r="D29" t="str">
            <v>G</v>
          </cell>
          <cell r="E29">
            <v>2.9999999999999997E-4</v>
          </cell>
          <cell r="F29">
            <v>0</v>
          </cell>
        </row>
        <row r="30">
          <cell r="A30">
            <v>40391</v>
          </cell>
          <cell r="B30">
            <v>40391</v>
          </cell>
          <cell r="C30" t="str">
            <v>02</v>
          </cell>
          <cell r="D30" t="str">
            <v>G</v>
          </cell>
          <cell r="E30">
            <v>2.9999999999999997E-4</v>
          </cell>
          <cell r="F30">
            <v>0</v>
          </cell>
        </row>
        <row r="31">
          <cell r="A31">
            <v>40360</v>
          </cell>
          <cell r="B31">
            <v>40360</v>
          </cell>
          <cell r="C31" t="str">
            <v>02</v>
          </cell>
          <cell r="D31" t="str">
            <v>G</v>
          </cell>
          <cell r="E31">
            <v>2.9999999999999997E-4</v>
          </cell>
          <cell r="F31">
            <v>0</v>
          </cell>
        </row>
        <row r="32">
          <cell r="A32">
            <v>40330</v>
          </cell>
          <cell r="B32">
            <v>40330</v>
          </cell>
          <cell r="C32" t="str">
            <v>02</v>
          </cell>
          <cell r="D32" t="str">
            <v>G</v>
          </cell>
          <cell r="E32">
            <v>2.9999999999999997E-4</v>
          </cell>
          <cell r="F32">
            <v>0</v>
          </cell>
        </row>
        <row r="33">
          <cell r="A33">
            <v>40299</v>
          </cell>
          <cell r="B33">
            <v>40299</v>
          </cell>
          <cell r="C33" t="str">
            <v>02</v>
          </cell>
          <cell r="D33" t="str">
            <v>G</v>
          </cell>
          <cell r="E33">
            <v>2.9999999999999997E-4</v>
          </cell>
          <cell r="F33">
            <v>0</v>
          </cell>
        </row>
        <row r="34">
          <cell r="A34">
            <v>40269</v>
          </cell>
          <cell r="B34">
            <v>40269</v>
          </cell>
          <cell r="C34" t="str">
            <v>02</v>
          </cell>
          <cell r="D34" t="str">
            <v>G</v>
          </cell>
          <cell r="E34">
            <v>2.9999999999999997E-4</v>
          </cell>
          <cell r="F34">
            <v>0</v>
          </cell>
        </row>
        <row r="35">
          <cell r="A35">
            <v>40238</v>
          </cell>
          <cell r="B35">
            <v>40238</v>
          </cell>
          <cell r="C35" t="str">
            <v>02</v>
          </cell>
          <cell r="D35" t="str">
            <v>G</v>
          </cell>
          <cell r="E35">
            <v>2.9999999999999997E-4</v>
          </cell>
          <cell r="F35">
            <v>0</v>
          </cell>
        </row>
        <row r="36">
          <cell r="A36">
            <v>40210</v>
          </cell>
          <cell r="B36">
            <v>40210</v>
          </cell>
          <cell r="C36" t="str">
            <v>02</v>
          </cell>
          <cell r="D36" t="str">
            <v>G</v>
          </cell>
          <cell r="E36">
            <v>2.9999999999999997E-4</v>
          </cell>
          <cell r="F36">
            <v>0</v>
          </cell>
        </row>
        <row r="37">
          <cell r="A37">
            <v>40179</v>
          </cell>
          <cell r="B37">
            <v>40179</v>
          </cell>
          <cell r="C37" t="str">
            <v>02</v>
          </cell>
          <cell r="D37" t="str">
            <v>G</v>
          </cell>
          <cell r="E37">
            <v>2.9999999999999997E-4</v>
          </cell>
          <cell r="F37">
            <v>0</v>
          </cell>
        </row>
        <row r="38">
          <cell r="A38">
            <v>40148</v>
          </cell>
          <cell r="B38">
            <v>40148</v>
          </cell>
          <cell r="C38" t="str">
            <v>02</v>
          </cell>
          <cell r="D38" t="str">
            <v>G</v>
          </cell>
          <cell r="E38">
            <v>1.5E-3</v>
          </cell>
          <cell r="F38">
            <v>1.8E-3</v>
          </cell>
        </row>
        <row r="39">
          <cell r="A39">
            <v>40118</v>
          </cell>
          <cell r="B39">
            <v>40118</v>
          </cell>
          <cell r="C39" t="str">
            <v>02</v>
          </cell>
          <cell r="D39" t="str">
            <v>G</v>
          </cell>
          <cell r="E39">
            <v>1.5E-3</v>
          </cell>
          <cell r="F39">
            <v>1.8E-3</v>
          </cell>
        </row>
        <row r="40">
          <cell r="A40">
            <v>40087</v>
          </cell>
          <cell r="B40">
            <v>40087</v>
          </cell>
          <cell r="C40" t="str">
            <v>02</v>
          </cell>
          <cell r="D40" t="str">
            <v>G</v>
          </cell>
          <cell r="E40">
            <v>1.5E-3</v>
          </cell>
          <cell r="F40">
            <v>1.8E-3</v>
          </cell>
        </row>
        <row r="41">
          <cell r="A41">
            <v>40057</v>
          </cell>
          <cell r="B41">
            <v>40057</v>
          </cell>
          <cell r="C41" t="str">
            <v>02</v>
          </cell>
          <cell r="D41" t="str">
            <v>G</v>
          </cell>
          <cell r="E41">
            <v>1.5E-3</v>
          </cell>
          <cell r="F41">
            <v>1.8E-3</v>
          </cell>
        </row>
        <row r="42">
          <cell r="A42">
            <v>40026</v>
          </cell>
          <cell r="B42">
            <v>40026</v>
          </cell>
          <cell r="C42" t="str">
            <v>02</v>
          </cell>
          <cell r="D42" t="str">
            <v>G</v>
          </cell>
          <cell r="E42">
            <v>1.5E-3</v>
          </cell>
          <cell r="F42">
            <v>1.8E-3</v>
          </cell>
        </row>
        <row r="43">
          <cell r="A43">
            <v>39995</v>
          </cell>
          <cell r="B43">
            <v>39995</v>
          </cell>
          <cell r="C43" t="str">
            <v>02</v>
          </cell>
          <cell r="D43" t="str">
            <v>G</v>
          </cell>
          <cell r="E43">
            <v>1.5E-3</v>
          </cell>
          <cell r="F43">
            <v>1.8E-3</v>
          </cell>
        </row>
        <row r="44">
          <cell r="A44">
            <v>39965</v>
          </cell>
          <cell r="B44">
            <v>39965</v>
          </cell>
          <cell r="C44" t="str">
            <v>02</v>
          </cell>
          <cell r="D44" t="str">
            <v>G</v>
          </cell>
          <cell r="E44">
            <v>1.5E-3</v>
          </cell>
          <cell r="F44">
            <v>1.8E-3</v>
          </cell>
        </row>
        <row r="45">
          <cell r="A45">
            <v>39934</v>
          </cell>
          <cell r="B45">
            <v>39934</v>
          </cell>
          <cell r="C45" t="str">
            <v>02</v>
          </cell>
          <cell r="D45" t="str">
            <v>G</v>
          </cell>
          <cell r="E45">
            <v>1.5E-3</v>
          </cell>
          <cell r="F45">
            <v>1.8E-3</v>
          </cell>
        </row>
        <row r="46">
          <cell r="A46">
            <v>39904</v>
          </cell>
          <cell r="B46">
            <v>39904</v>
          </cell>
          <cell r="C46" t="str">
            <v>02</v>
          </cell>
          <cell r="D46" t="str">
            <v>G</v>
          </cell>
          <cell r="E46">
            <v>1.5E-3</v>
          </cell>
          <cell r="F46">
            <v>1.8E-3</v>
          </cell>
        </row>
        <row r="47">
          <cell r="A47">
            <v>39873</v>
          </cell>
          <cell r="B47">
            <v>39873</v>
          </cell>
          <cell r="C47" t="str">
            <v>02</v>
          </cell>
          <cell r="D47" t="str">
            <v>G</v>
          </cell>
          <cell r="E47">
            <v>1.5E-3</v>
          </cell>
          <cell r="F47">
            <v>1.8E-3</v>
          </cell>
        </row>
        <row r="48">
          <cell r="A48">
            <v>39845</v>
          </cell>
          <cell r="B48">
            <v>39845</v>
          </cell>
          <cell r="C48" t="str">
            <v>02</v>
          </cell>
          <cell r="D48" t="str">
            <v>G</v>
          </cell>
          <cell r="E48">
            <v>1.5E-3</v>
          </cell>
          <cell r="F48">
            <v>1.8E-3</v>
          </cell>
        </row>
        <row r="49">
          <cell r="A49">
            <v>39814</v>
          </cell>
          <cell r="B49">
            <v>39814</v>
          </cell>
          <cell r="C49" t="str">
            <v>02</v>
          </cell>
          <cell r="D49" t="str">
            <v>G</v>
          </cell>
          <cell r="E49">
            <v>1.5E-3</v>
          </cell>
          <cell r="F49">
            <v>1.8E-3</v>
          </cell>
        </row>
      </sheetData>
      <sheetData sheetId="8"/>
      <sheetData sheetId="9"/>
      <sheetData sheetId="10"/>
      <sheetData sheetId="11"/>
      <sheetData sheetId="12"/>
    </sheetDataSet>
  </externalBook>
</externalLink>
</file>

<file path=xl/namedSheetViews/namedSheetView1.xml><?xml version="1.0" encoding="utf-8"?>
<namedSheetViews xmlns="http://schemas.microsoft.com/office/spreadsheetml/2019/namedsheetviews" xmlns:x="http://schemas.openxmlformats.org/spreadsheetml/2006/main">
  <namedSheetView name="View1" id="{41FC4AD5-82FA-4F5D-864B-B316419C83E9}"/>
</namedSheetViews>
</file>

<file path=xl/namedSheetViews/namedSheetView2.xml><?xml version="1.0" encoding="utf-8"?>
<namedSheetViews xmlns="http://schemas.microsoft.com/office/spreadsheetml/2019/namedsheetviews" xmlns:x="http://schemas.openxmlformats.org/spreadsheetml/2006/main">
  <namedSheetView name="View1" id="{D6E68B56-D613-4A8C-AD92-000F03D10055}"/>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microsoft.com/office/2019/04/relationships/namedSheetView" Target="../namedSheetViews/namedSheetView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A6B82-DA6E-418D-9C43-261FA02062DF}">
  <dimension ref="A4:B9"/>
  <sheetViews>
    <sheetView tabSelected="1" workbookViewId="0">
      <selection activeCell="A9" sqref="A9"/>
    </sheetView>
  </sheetViews>
  <sheetFormatPr defaultRowHeight="15" x14ac:dyDescent="0.25"/>
  <sheetData>
    <row r="4" spans="1:2" x14ac:dyDescent="0.25">
      <c r="B4" t="s">
        <v>0</v>
      </c>
    </row>
    <row r="5" spans="1:2" x14ac:dyDescent="0.25">
      <c r="B5" t="s">
        <v>1</v>
      </c>
    </row>
    <row r="6" spans="1:2" x14ac:dyDescent="0.25">
      <c r="B6" t="s">
        <v>2</v>
      </c>
    </row>
    <row r="7" spans="1:2" x14ac:dyDescent="0.25">
      <c r="B7" t="s">
        <v>3</v>
      </c>
    </row>
    <row r="9" spans="1:2" ht="15.75" x14ac:dyDescent="0.25">
      <c r="A9" s="220"/>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74D60-83F7-4C6C-AB73-9D963E3AA0FE}">
  <sheetPr codeName="Sheet1">
    <pageSetUpPr fitToPage="1"/>
  </sheetPr>
  <dimension ref="A1:K17"/>
  <sheetViews>
    <sheetView view="pageLayout" zoomScale="90" zoomScaleNormal="90" zoomScaleSheetLayoutView="100" zoomScalePageLayoutView="90" workbookViewId="0">
      <selection sqref="A1:G1"/>
    </sheetView>
  </sheetViews>
  <sheetFormatPr defaultColWidth="9.140625" defaultRowHeight="12.75" x14ac:dyDescent="0.2"/>
  <cols>
    <col min="1" max="1" width="40.85546875" style="86" customWidth="1"/>
    <col min="2" max="2" width="16.28515625" style="86" bestFit="1" customWidth="1"/>
    <col min="3" max="6" width="14.42578125" style="86" bestFit="1" customWidth="1"/>
    <col min="7" max="7" width="16.140625" style="86" bestFit="1" customWidth="1"/>
    <col min="8" max="8" width="12.28515625" style="86" bestFit="1" customWidth="1"/>
    <col min="9" max="9" width="13.42578125" style="86" bestFit="1" customWidth="1"/>
    <col min="10" max="11" width="13.28515625" style="86" bestFit="1" customWidth="1"/>
    <col min="12" max="16384" width="9.140625" style="86"/>
  </cols>
  <sheetData>
    <row r="1" spans="1:11" ht="18" x14ac:dyDescent="0.25">
      <c r="A1" s="213" t="s">
        <v>2</v>
      </c>
      <c r="B1" s="213"/>
      <c r="C1" s="213"/>
      <c r="D1" s="213"/>
      <c r="E1" s="213"/>
      <c r="F1" s="213"/>
      <c r="G1" s="213"/>
    </row>
    <row r="2" spans="1:11" ht="17.25" customHeight="1" x14ac:dyDescent="0.25">
      <c r="A2" s="213" t="s">
        <v>4</v>
      </c>
      <c r="B2" s="213"/>
      <c r="C2" s="213"/>
      <c r="D2" s="213"/>
      <c r="E2" s="213"/>
      <c r="F2" s="213"/>
      <c r="G2" s="213"/>
    </row>
    <row r="4" spans="1:11" x14ac:dyDescent="0.2">
      <c r="A4" s="87"/>
    </row>
    <row r="5" spans="1:11" ht="15" x14ac:dyDescent="0.2">
      <c r="A5" s="97" t="s">
        <v>5</v>
      </c>
      <c r="B5" s="88">
        <v>2022</v>
      </c>
      <c r="C5" s="88">
        <v>2023</v>
      </c>
      <c r="D5" s="88">
        <v>2024</v>
      </c>
      <c r="E5" s="88">
        <v>2025</v>
      </c>
      <c r="F5" s="88">
        <v>2026</v>
      </c>
      <c r="G5" s="88" t="s">
        <v>6</v>
      </c>
      <c r="J5" s="89"/>
      <c r="K5" s="89"/>
    </row>
    <row r="6" spans="1:11" x14ac:dyDescent="0.2">
      <c r="A6" s="90" t="s">
        <v>7</v>
      </c>
      <c r="B6" s="208">
        <v>18045042</v>
      </c>
      <c r="C6" s="208">
        <v>20011733</v>
      </c>
      <c r="D6" s="208">
        <v>13199987</v>
      </c>
      <c r="E6" s="208">
        <v>3460048</v>
      </c>
      <c r="F6" s="208">
        <v>0</v>
      </c>
      <c r="G6" s="91">
        <f>SUM(B6:F6)</f>
        <v>54716810</v>
      </c>
      <c r="H6" s="92"/>
      <c r="I6" s="92"/>
      <c r="J6" s="93"/>
      <c r="K6" s="93"/>
    </row>
    <row r="7" spans="1:11" x14ac:dyDescent="0.2">
      <c r="A7" s="90" t="s">
        <v>8</v>
      </c>
      <c r="B7" s="208">
        <v>8539815</v>
      </c>
      <c r="C7" s="208">
        <v>10092693</v>
      </c>
      <c r="D7" s="208">
        <v>13367728</v>
      </c>
      <c r="E7" s="208">
        <v>20254845</v>
      </c>
      <c r="F7" s="208">
        <v>18103781</v>
      </c>
      <c r="G7" s="91">
        <f>SUM(B7:F7)</f>
        <v>70358862</v>
      </c>
      <c r="H7" s="92"/>
      <c r="I7" s="92"/>
      <c r="J7" s="93"/>
      <c r="K7" s="93"/>
    </row>
    <row r="8" spans="1:11" x14ac:dyDescent="0.2">
      <c r="A8" s="90" t="s">
        <v>9</v>
      </c>
      <c r="B8" s="208">
        <v>11146899</v>
      </c>
      <c r="C8" s="208">
        <v>16113272</v>
      </c>
      <c r="D8" s="208">
        <v>14081678</v>
      </c>
      <c r="E8" s="208">
        <v>17997414</v>
      </c>
      <c r="F8" s="208">
        <v>22116143</v>
      </c>
      <c r="G8" s="91">
        <f>SUM(B8:F8)</f>
        <v>81455406</v>
      </c>
      <c r="H8" s="92"/>
      <c r="I8" s="92"/>
      <c r="J8" s="93"/>
      <c r="K8" s="93"/>
    </row>
    <row r="9" spans="1:11" x14ac:dyDescent="0.2">
      <c r="A9" s="90" t="s">
        <v>10</v>
      </c>
      <c r="B9" s="208">
        <v>2979306</v>
      </c>
      <c r="C9" s="208">
        <v>4067334</v>
      </c>
      <c r="D9" s="208">
        <v>10152791</v>
      </c>
      <c r="E9" s="208">
        <v>4221349</v>
      </c>
      <c r="F9" s="208">
        <v>2426923</v>
      </c>
      <c r="G9" s="91">
        <f>SUM(B9:F9)</f>
        <v>23847703</v>
      </c>
      <c r="H9" s="92"/>
      <c r="I9" s="92"/>
      <c r="J9" s="93"/>
      <c r="K9" s="93"/>
    </row>
    <row r="10" spans="1:11" ht="15" x14ac:dyDescent="0.25">
      <c r="A10" s="94" t="s">
        <v>11</v>
      </c>
      <c r="B10" s="95">
        <f t="shared" ref="B10:G10" si="0">SUM(B6:B9)</f>
        <v>40711062</v>
      </c>
      <c r="C10" s="95">
        <f t="shared" si="0"/>
        <v>50285032</v>
      </c>
      <c r="D10" s="95">
        <f t="shared" si="0"/>
        <v>50802184</v>
      </c>
      <c r="E10" s="95">
        <f t="shared" si="0"/>
        <v>45933656</v>
      </c>
      <c r="F10" s="95">
        <f t="shared" si="0"/>
        <v>42646847</v>
      </c>
      <c r="G10" s="95">
        <f t="shared" si="0"/>
        <v>230378781</v>
      </c>
      <c r="H10" s="92"/>
      <c r="I10" s="92"/>
      <c r="J10" s="92"/>
      <c r="K10" s="92"/>
    </row>
    <row r="11" spans="1:11" x14ac:dyDescent="0.2">
      <c r="F11" s="93"/>
      <c r="G11" s="93"/>
      <c r="H11" s="99"/>
    </row>
    <row r="13" spans="1:11" x14ac:dyDescent="0.2">
      <c r="B13" s="190"/>
      <c r="C13" s="190"/>
      <c r="D13" s="190"/>
      <c r="E13" s="190"/>
      <c r="F13" s="190"/>
      <c r="G13" s="190"/>
    </row>
    <row r="14" spans="1:11" x14ac:dyDescent="0.2">
      <c r="B14" s="190"/>
      <c r="C14" s="190"/>
      <c r="D14" s="190"/>
      <c r="E14" s="190"/>
      <c r="F14" s="190"/>
      <c r="G14" s="190"/>
    </row>
    <row r="15" spans="1:11" x14ac:dyDescent="0.2">
      <c r="B15" s="190"/>
      <c r="C15" s="190"/>
      <c r="D15" s="190"/>
      <c r="E15" s="190"/>
      <c r="F15" s="190"/>
      <c r="G15" s="190"/>
    </row>
    <row r="16" spans="1:11" x14ac:dyDescent="0.2">
      <c r="B16" s="190"/>
      <c r="C16" s="190"/>
      <c r="D16" s="190"/>
      <c r="E16" s="190"/>
      <c r="F16" s="190"/>
      <c r="G16" s="190"/>
    </row>
    <row r="17" spans="2:7" x14ac:dyDescent="0.2">
      <c r="B17" s="190"/>
      <c r="C17" s="190"/>
      <c r="D17" s="190"/>
      <c r="E17" s="190"/>
      <c r="F17" s="190"/>
      <c r="G17" s="190"/>
    </row>
  </sheetData>
  <mergeCells count="2">
    <mergeCell ref="A1:G1"/>
    <mergeCell ref="A2:G2"/>
  </mergeCells>
  <printOptions horizontalCentered="1"/>
  <pageMargins left="0.75" right="0.75" top="1" bottom="1" header="0.5" footer="0.5"/>
  <pageSetup scale="92" fitToHeight="0" orientation="landscape" r:id="rId1"/>
  <headerFooter scaleWithDoc="0">
    <oddHeader>&amp;RPetitioner's Exhibit No. 2
Attachment  &amp;A
CEI South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81C40-F890-445D-BD69-444CBD1BF976}">
  <sheetPr codeName="Sheet2">
    <pageSetUpPr fitToPage="1"/>
  </sheetPr>
  <dimension ref="A1:K23"/>
  <sheetViews>
    <sheetView view="pageLayout" zoomScale="90" zoomScaleNormal="90" zoomScaleSheetLayoutView="100" zoomScalePageLayoutView="90" workbookViewId="0">
      <selection sqref="A1:G1"/>
    </sheetView>
  </sheetViews>
  <sheetFormatPr defaultColWidth="9.140625" defaultRowHeight="12.75" x14ac:dyDescent="0.2"/>
  <cols>
    <col min="1" max="1" width="40.85546875" style="86" customWidth="1"/>
    <col min="2" max="2" width="16.28515625" style="86" bestFit="1" customWidth="1"/>
    <col min="3" max="6" width="14.42578125" style="86" bestFit="1" customWidth="1"/>
    <col min="7" max="7" width="16.140625" style="86" bestFit="1" customWidth="1"/>
    <col min="8" max="8" width="12.28515625" style="86" bestFit="1" customWidth="1"/>
    <col min="9" max="9" width="13.42578125" style="86" bestFit="1" customWidth="1"/>
    <col min="10" max="11" width="13.28515625" style="86" bestFit="1" customWidth="1"/>
    <col min="12" max="16384" width="9.140625" style="86"/>
  </cols>
  <sheetData>
    <row r="1" spans="1:11" ht="18" x14ac:dyDescent="0.25">
      <c r="A1" s="213" t="s">
        <v>2</v>
      </c>
      <c r="B1" s="213"/>
      <c r="C1" s="213"/>
      <c r="D1" s="213"/>
      <c r="E1" s="213"/>
      <c r="F1" s="213"/>
      <c r="G1" s="213"/>
    </row>
    <row r="2" spans="1:11" ht="17.25" customHeight="1" x14ac:dyDescent="0.25">
      <c r="A2" s="213" t="s">
        <v>12</v>
      </c>
      <c r="B2" s="213"/>
      <c r="C2" s="213"/>
      <c r="D2" s="213"/>
      <c r="E2" s="213"/>
      <c r="F2" s="213"/>
      <c r="G2" s="213"/>
    </row>
    <row r="4" spans="1:11" x14ac:dyDescent="0.2">
      <c r="A4" s="87"/>
    </row>
    <row r="5" spans="1:11" ht="15" x14ac:dyDescent="0.2">
      <c r="A5" s="97" t="s">
        <v>13</v>
      </c>
      <c r="B5" s="88">
        <v>2022</v>
      </c>
      <c r="C5" s="88">
        <v>2023</v>
      </c>
      <c r="D5" s="88">
        <v>2024</v>
      </c>
      <c r="E5" s="88">
        <v>2025</v>
      </c>
      <c r="F5" s="88">
        <v>2026</v>
      </c>
      <c r="G5" s="88" t="s">
        <v>6</v>
      </c>
    </row>
    <row r="6" spans="1:11" x14ac:dyDescent="0.2">
      <c r="A6" s="96" t="s">
        <v>14</v>
      </c>
      <c r="B6" s="208">
        <v>200000</v>
      </c>
      <c r="C6" s="208">
        <v>200000</v>
      </c>
      <c r="D6" s="208">
        <v>200000</v>
      </c>
      <c r="E6" s="208">
        <v>200000</v>
      </c>
      <c r="F6" s="208">
        <v>200000</v>
      </c>
      <c r="G6" s="91">
        <f t="shared" ref="G6:G9" si="0">SUM(B6:F6)</f>
        <v>1000000</v>
      </c>
      <c r="J6" s="93"/>
      <c r="K6" s="93"/>
    </row>
    <row r="7" spans="1:11" x14ac:dyDescent="0.2">
      <c r="A7" s="96" t="s">
        <v>15</v>
      </c>
      <c r="B7" s="208">
        <v>300000</v>
      </c>
      <c r="C7" s="208">
        <v>300000</v>
      </c>
      <c r="D7" s="208">
        <v>300000</v>
      </c>
      <c r="E7" s="208">
        <v>300000</v>
      </c>
      <c r="F7" s="208">
        <v>300000</v>
      </c>
      <c r="G7" s="91">
        <f t="shared" si="0"/>
        <v>1500000</v>
      </c>
      <c r="J7" s="93"/>
      <c r="K7" s="93"/>
    </row>
    <row r="8" spans="1:11" x14ac:dyDescent="0.2">
      <c r="A8" s="96" t="s">
        <v>16</v>
      </c>
      <c r="B8" s="208">
        <v>1510539</v>
      </c>
      <c r="C8" s="208">
        <v>13646438</v>
      </c>
      <c r="D8" s="208">
        <v>10974689</v>
      </c>
      <c r="E8" s="208">
        <v>1120209</v>
      </c>
      <c r="F8" s="208">
        <v>11287660</v>
      </c>
      <c r="G8" s="91">
        <f t="shared" si="0"/>
        <v>38539535</v>
      </c>
      <c r="H8" s="92"/>
      <c r="I8" s="92"/>
      <c r="J8" s="93"/>
      <c r="K8" s="93"/>
    </row>
    <row r="9" spans="1:11" x14ac:dyDescent="0.2">
      <c r="A9" s="96" t="s">
        <v>17</v>
      </c>
      <c r="B9" s="208">
        <v>4833130</v>
      </c>
      <c r="C9" s="208">
        <v>3242894</v>
      </c>
      <c r="D9" s="208">
        <v>333752</v>
      </c>
      <c r="E9" s="208">
        <v>0</v>
      </c>
      <c r="F9" s="208">
        <v>0</v>
      </c>
      <c r="G9" s="91">
        <f t="shared" si="0"/>
        <v>8409776</v>
      </c>
      <c r="H9" s="92"/>
      <c r="I9" s="92"/>
      <c r="J9" s="93"/>
      <c r="K9" s="93"/>
    </row>
    <row r="10" spans="1:11" ht="15" x14ac:dyDescent="0.25">
      <c r="A10" s="94" t="s">
        <v>18</v>
      </c>
      <c r="B10" s="95">
        <f t="shared" ref="B10:G10" si="1">SUM(B6:B9)</f>
        <v>6843669</v>
      </c>
      <c r="C10" s="95">
        <f t="shared" si="1"/>
        <v>17389332</v>
      </c>
      <c r="D10" s="95">
        <f t="shared" si="1"/>
        <v>11808441</v>
      </c>
      <c r="E10" s="95">
        <f t="shared" si="1"/>
        <v>1620209</v>
      </c>
      <c r="F10" s="95">
        <f t="shared" si="1"/>
        <v>11787660</v>
      </c>
      <c r="G10" s="95">
        <f t="shared" si="1"/>
        <v>49449311</v>
      </c>
      <c r="H10" s="92"/>
      <c r="I10" s="92"/>
      <c r="J10" s="92"/>
      <c r="K10" s="92"/>
    </row>
    <row r="12" spans="1:11" x14ac:dyDescent="0.2">
      <c r="A12" s="196"/>
      <c r="B12" s="196"/>
      <c r="C12" s="196"/>
      <c r="D12" s="196"/>
      <c r="E12" s="196"/>
      <c r="F12" s="196"/>
      <c r="G12" s="196"/>
      <c r="H12" s="196"/>
      <c r="I12" s="196"/>
    </row>
    <row r="13" spans="1:11" x14ac:dyDescent="0.2">
      <c r="A13" s="197"/>
      <c r="B13" s="198"/>
      <c r="C13" s="198"/>
      <c r="D13" s="198"/>
      <c r="E13" s="198"/>
      <c r="F13" s="198"/>
      <c r="G13" s="198"/>
      <c r="H13" s="196"/>
      <c r="I13" s="196"/>
    </row>
    <row r="14" spans="1:11" x14ac:dyDescent="0.2">
      <c r="A14" s="197"/>
      <c r="B14" s="198"/>
      <c r="C14" s="198"/>
      <c r="D14" s="198"/>
      <c r="E14" s="198"/>
      <c r="F14" s="198"/>
      <c r="G14" s="198"/>
      <c r="H14" s="196"/>
      <c r="I14" s="196"/>
    </row>
    <row r="15" spans="1:11" x14ac:dyDescent="0.2">
      <c r="A15" s="197"/>
      <c r="B15" s="198"/>
      <c r="C15" s="198"/>
      <c r="D15" s="198"/>
      <c r="E15" s="198"/>
      <c r="F15" s="198"/>
      <c r="G15" s="198"/>
      <c r="H15" s="196"/>
      <c r="I15" s="196"/>
    </row>
    <row r="16" spans="1:11" x14ac:dyDescent="0.2">
      <c r="A16" s="197"/>
      <c r="B16" s="198"/>
      <c r="C16" s="198"/>
      <c r="D16" s="198"/>
      <c r="E16" s="198"/>
      <c r="F16" s="198"/>
      <c r="G16" s="198"/>
      <c r="H16" s="196"/>
      <c r="I16" s="196"/>
    </row>
    <row r="17" spans="1:9" x14ac:dyDescent="0.2">
      <c r="A17" s="196"/>
      <c r="B17" s="198"/>
      <c r="C17" s="198"/>
      <c r="D17" s="198"/>
      <c r="E17" s="198"/>
      <c r="F17" s="198"/>
      <c r="G17" s="198"/>
      <c r="H17" s="196"/>
      <c r="I17" s="196"/>
    </row>
    <row r="18" spans="1:9" x14ac:dyDescent="0.2">
      <c r="A18" s="196"/>
      <c r="B18" s="196"/>
      <c r="C18" s="196"/>
      <c r="D18" s="196"/>
      <c r="E18" s="196"/>
      <c r="F18" s="196"/>
      <c r="G18" s="196"/>
      <c r="H18" s="196"/>
      <c r="I18" s="196"/>
    </row>
    <row r="19" spans="1:9" x14ac:dyDescent="0.2">
      <c r="A19" s="196"/>
      <c r="B19" s="196"/>
      <c r="C19" s="196"/>
      <c r="D19" s="196"/>
      <c r="E19" s="196"/>
      <c r="F19" s="196"/>
      <c r="G19" s="196"/>
      <c r="H19" s="196"/>
      <c r="I19" s="196"/>
    </row>
    <row r="20" spans="1:9" x14ac:dyDescent="0.2">
      <c r="A20" s="196"/>
      <c r="B20" s="196"/>
      <c r="C20" s="196"/>
      <c r="D20" s="196"/>
      <c r="E20" s="196"/>
      <c r="F20" s="196"/>
      <c r="G20" s="196"/>
      <c r="H20" s="196"/>
      <c r="I20" s="196"/>
    </row>
    <row r="21" spans="1:9" x14ac:dyDescent="0.2">
      <c r="A21" s="196"/>
      <c r="B21" s="196"/>
      <c r="C21" s="196"/>
      <c r="D21" s="196"/>
      <c r="E21" s="196"/>
      <c r="F21" s="196"/>
      <c r="G21" s="196"/>
      <c r="H21" s="196"/>
      <c r="I21" s="196"/>
    </row>
    <row r="22" spans="1:9" x14ac:dyDescent="0.2">
      <c r="A22" s="196"/>
      <c r="B22" s="196"/>
      <c r="C22" s="196"/>
      <c r="D22" s="196"/>
      <c r="E22" s="196"/>
      <c r="F22" s="196"/>
      <c r="G22" s="196"/>
      <c r="H22" s="196"/>
      <c r="I22" s="196"/>
    </row>
    <row r="23" spans="1:9" x14ac:dyDescent="0.2">
      <c r="A23" s="196"/>
      <c r="B23" s="196"/>
      <c r="C23" s="196"/>
      <c r="D23" s="196"/>
      <c r="E23" s="196"/>
      <c r="F23" s="196"/>
      <c r="G23" s="196"/>
      <c r="H23" s="196"/>
      <c r="I23" s="196"/>
    </row>
  </sheetData>
  <mergeCells count="2">
    <mergeCell ref="A1:G1"/>
    <mergeCell ref="A2:G2"/>
  </mergeCells>
  <printOptions horizontalCentered="1"/>
  <pageMargins left="0.75" right="0.75" top="1" bottom="1" header="0.5" footer="0.5"/>
  <pageSetup scale="92" fitToHeight="0" orientation="landscape" r:id="rId1"/>
  <headerFooter scaleWithDoc="0">
    <oddHeader>&amp;RPetitioner's Exhibit No. 2
Attachment  &amp;A
CEI South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07DB8-3F8F-41CE-9A0D-E622680F72F7}">
  <sheetPr codeName="Sheet3">
    <pageSetUpPr fitToPage="1"/>
  </sheetPr>
  <dimension ref="A1:N38"/>
  <sheetViews>
    <sheetView view="pageLayout" zoomScale="80" zoomScaleNormal="120" zoomScaleSheetLayoutView="100" zoomScalePageLayoutView="80" workbookViewId="0">
      <selection activeCell="A7" sqref="A7"/>
    </sheetView>
  </sheetViews>
  <sheetFormatPr defaultColWidth="9.140625" defaultRowHeight="12.75" x14ac:dyDescent="0.2"/>
  <cols>
    <col min="1" max="1" width="12.85546875" style="104" customWidth="1"/>
    <col min="2" max="2" width="20.140625" style="105" bestFit="1" customWidth="1"/>
    <col min="3" max="3" width="20" style="105" bestFit="1" customWidth="1"/>
    <col min="4" max="4" width="22.5703125" style="104" customWidth="1"/>
    <col min="5" max="5" width="13.85546875" style="105" bestFit="1" customWidth="1"/>
    <col min="6" max="6" width="14.5703125" style="105" customWidth="1"/>
    <col min="7" max="7" width="49.85546875" style="105" customWidth="1"/>
    <col min="8" max="8" width="11.42578125" style="106" customWidth="1"/>
    <col min="9" max="9" width="13.85546875" style="106" bestFit="1" customWidth="1"/>
    <col min="10" max="10" width="12.5703125" style="107" bestFit="1" customWidth="1"/>
    <col min="11" max="11" width="20" style="101" customWidth="1"/>
    <col min="12" max="13" width="9.140625" style="101"/>
    <col min="14" max="14" width="13.5703125" style="101" customWidth="1"/>
    <col min="15" max="16384" width="9.140625" style="101"/>
  </cols>
  <sheetData>
    <row r="1" spans="1:14" ht="18" x14ac:dyDescent="0.25">
      <c r="A1" s="214" t="s">
        <v>2</v>
      </c>
      <c r="B1" s="214"/>
      <c r="C1" s="214"/>
      <c r="D1" s="214"/>
      <c r="E1" s="214"/>
      <c r="F1" s="214"/>
      <c r="G1" s="214"/>
      <c r="H1" s="214"/>
      <c r="I1" s="214"/>
      <c r="J1" s="214"/>
    </row>
    <row r="2" spans="1:14" ht="18" x14ac:dyDescent="0.25">
      <c r="A2" s="214" t="s">
        <v>19</v>
      </c>
      <c r="B2" s="214"/>
      <c r="C2" s="214"/>
      <c r="D2" s="214"/>
      <c r="E2" s="214"/>
      <c r="F2" s="214"/>
      <c r="G2" s="214"/>
      <c r="H2" s="214"/>
      <c r="I2" s="214"/>
      <c r="J2" s="214"/>
    </row>
    <row r="3" spans="1:14" ht="18" x14ac:dyDescent="0.2">
      <c r="A3" s="2"/>
      <c r="B3" s="3"/>
      <c r="C3" s="4"/>
      <c r="D3" s="5"/>
      <c r="E3" s="4"/>
      <c r="F3" s="4"/>
      <c r="G3" s="6"/>
      <c r="H3" s="7"/>
      <c r="I3" s="7"/>
      <c r="J3" s="7"/>
    </row>
    <row r="4" spans="1:14" ht="18" x14ac:dyDescent="0.2">
      <c r="A4" s="10"/>
      <c r="B4" s="11"/>
      <c r="C4" s="12"/>
      <c r="D4" s="13"/>
      <c r="E4" s="12"/>
      <c r="F4" s="12"/>
      <c r="G4" s="6"/>
      <c r="H4" s="14"/>
      <c r="I4" s="14"/>
      <c r="J4" s="15"/>
    </row>
    <row r="5" spans="1:14" ht="15" x14ac:dyDescent="0.2">
      <c r="A5" s="16"/>
      <c r="B5" s="17"/>
      <c r="C5" s="6"/>
      <c r="D5" s="16"/>
      <c r="E5" s="6"/>
      <c r="F5" s="6"/>
      <c r="G5" s="6"/>
      <c r="H5" s="18"/>
      <c r="I5" s="18"/>
      <c r="J5" s="19"/>
    </row>
    <row r="6" spans="1:14" s="103" customFormat="1" ht="38.25" x14ac:dyDescent="0.2">
      <c r="A6" s="79" t="s">
        <v>20</v>
      </c>
      <c r="B6" s="79" t="s">
        <v>21</v>
      </c>
      <c r="C6" s="79" t="s">
        <v>22</v>
      </c>
      <c r="D6" s="79" t="s">
        <v>23</v>
      </c>
      <c r="E6" s="79" t="s">
        <v>24</v>
      </c>
      <c r="F6" s="79" t="s">
        <v>25</v>
      </c>
      <c r="G6" s="79" t="s">
        <v>26</v>
      </c>
      <c r="H6" s="79" t="s">
        <v>27</v>
      </c>
      <c r="I6" s="79" t="s">
        <v>28</v>
      </c>
      <c r="J6" s="80" t="s">
        <v>29</v>
      </c>
      <c r="K6" s="102"/>
      <c r="L6" s="102"/>
      <c r="M6" s="102"/>
      <c r="N6" s="102"/>
    </row>
    <row r="7" spans="1:14" ht="30" x14ac:dyDescent="0.2">
      <c r="A7" s="100" t="s">
        <v>30</v>
      </c>
      <c r="B7" s="184" t="s">
        <v>31</v>
      </c>
      <c r="C7" s="184" t="s">
        <v>32</v>
      </c>
      <c r="D7" s="100" t="s">
        <v>33</v>
      </c>
      <c r="E7" s="100" t="s">
        <v>34</v>
      </c>
      <c r="F7" s="100" t="s">
        <v>35</v>
      </c>
      <c r="G7" s="184" t="s">
        <v>36</v>
      </c>
      <c r="H7" s="187">
        <v>2022</v>
      </c>
      <c r="I7" s="199"/>
      <c r="J7" s="200"/>
    </row>
    <row r="8" spans="1:14" ht="30" x14ac:dyDescent="0.2">
      <c r="A8" s="100" t="s">
        <v>37</v>
      </c>
      <c r="B8" s="184" t="s">
        <v>31</v>
      </c>
      <c r="C8" s="184" t="s">
        <v>32</v>
      </c>
      <c r="D8" s="100" t="s">
        <v>33</v>
      </c>
      <c r="E8" s="100" t="s">
        <v>34</v>
      </c>
      <c r="F8" s="100" t="s">
        <v>38</v>
      </c>
      <c r="G8" s="184" t="s">
        <v>39</v>
      </c>
      <c r="H8" s="187">
        <v>2022</v>
      </c>
      <c r="I8" s="199"/>
      <c r="J8" s="200"/>
    </row>
    <row r="9" spans="1:14" ht="30" x14ac:dyDescent="0.2">
      <c r="A9" s="100" t="s">
        <v>40</v>
      </c>
      <c r="B9" s="184" t="s">
        <v>31</v>
      </c>
      <c r="C9" s="184" t="s">
        <v>32</v>
      </c>
      <c r="D9" s="100" t="s">
        <v>33</v>
      </c>
      <c r="E9" s="100" t="s">
        <v>34</v>
      </c>
      <c r="F9" s="100" t="s">
        <v>35</v>
      </c>
      <c r="G9" s="184" t="s">
        <v>41</v>
      </c>
      <c r="H9" s="187">
        <v>2022</v>
      </c>
      <c r="I9" s="199"/>
      <c r="J9" s="200"/>
    </row>
    <row r="10" spans="1:14" ht="30" x14ac:dyDescent="0.2">
      <c r="A10" s="100" t="s">
        <v>42</v>
      </c>
      <c r="B10" s="184" t="s">
        <v>31</v>
      </c>
      <c r="C10" s="184" t="s">
        <v>32</v>
      </c>
      <c r="D10" s="100" t="s">
        <v>43</v>
      </c>
      <c r="E10" s="100" t="s">
        <v>34</v>
      </c>
      <c r="F10" s="100" t="s">
        <v>35</v>
      </c>
      <c r="G10" s="184" t="s">
        <v>44</v>
      </c>
      <c r="H10" s="187">
        <v>2022</v>
      </c>
      <c r="I10" s="199"/>
      <c r="J10" s="200"/>
    </row>
    <row r="11" spans="1:14" ht="45" x14ac:dyDescent="0.2">
      <c r="A11" s="100" t="s">
        <v>45</v>
      </c>
      <c r="B11" s="184" t="s">
        <v>31</v>
      </c>
      <c r="C11" s="184" t="s">
        <v>32</v>
      </c>
      <c r="D11" s="100" t="s">
        <v>46</v>
      </c>
      <c r="E11" s="100" t="s">
        <v>34</v>
      </c>
      <c r="F11" s="100" t="s">
        <v>35</v>
      </c>
      <c r="G11" s="184" t="s">
        <v>47</v>
      </c>
      <c r="H11" s="187">
        <v>2022</v>
      </c>
      <c r="I11" s="199"/>
      <c r="J11" s="200"/>
    </row>
    <row r="12" spans="1:14" ht="120" x14ac:dyDescent="0.2">
      <c r="A12" s="100" t="s">
        <v>48</v>
      </c>
      <c r="B12" s="184" t="s">
        <v>31</v>
      </c>
      <c r="C12" s="184" t="s">
        <v>32</v>
      </c>
      <c r="D12" s="100" t="s">
        <v>46</v>
      </c>
      <c r="E12" s="100" t="s">
        <v>34</v>
      </c>
      <c r="F12" s="100" t="s">
        <v>35</v>
      </c>
      <c r="G12" s="184" t="s">
        <v>49</v>
      </c>
      <c r="H12" s="187">
        <v>2022</v>
      </c>
      <c r="I12" s="199"/>
      <c r="J12" s="200"/>
    </row>
    <row r="13" spans="1:14" ht="30" x14ac:dyDescent="0.2">
      <c r="A13" s="100" t="s">
        <v>50</v>
      </c>
      <c r="B13" s="184" t="s">
        <v>31</v>
      </c>
      <c r="C13" s="184" t="s">
        <v>32</v>
      </c>
      <c r="D13" s="100" t="s">
        <v>33</v>
      </c>
      <c r="E13" s="100" t="s">
        <v>34</v>
      </c>
      <c r="F13" s="100" t="s">
        <v>51</v>
      </c>
      <c r="G13" s="184" t="s">
        <v>52</v>
      </c>
      <c r="H13" s="187">
        <v>2023</v>
      </c>
      <c r="I13" s="199"/>
      <c r="J13" s="200"/>
    </row>
    <row r="14" spans="1:14" ht="45" x14ac:dyDescent="0.2">
      <c r="A14" s="100" t="s">
        <v>53</v>
      </c>
      <c r="B14" s="184" t="s">
        <v>31</v>
      </c>
      <c r="C14" s="184" t="s">
        <v>32</v>
      </c>
      <c r="D14" s="100" t="s">
        <v>43</v>
      </c>
      <c r="E14" s="100" t="s">
        <v>34</v>
      </c>
      <c r="F14" s="100" t="s">
        <v>35</v>
      </c>
      <c r="G14" s="184" t="s">
        <v>54</v>
      </c>
      <c r="H14" s="187">
        <v>2023</v>
      </c>
      <c r="I14" s="199"/>
      <c r="J14" s="200"/>
    </row>
    <row r="15" spans="1:14" ht="105" x14ac:dyDescent="0.2">
      <c r="A15" s="100" t="s">
        <v>55</v>
      </c>
      <c r="B15" s="184" t="s">
        <v>31</v>
      </c>
      <c r="C15" s="184" t="s">
        <v>32</v>
      </c>
      <c r="D15" s="100" t="s">
        <v>46</v>
      </c>
      <c r="E15" s="100" t="s">
        <v>34</v>
      </c>
      <c r="F15" s="100" t="s">
        <v>35</v>
      </c>
      <c r="G15" s="184" t="s">
        <v>56</v>
      </c>
      <c r="H15" s="187">
        <v>2023</v>
      </c>
      <c r="I15" s="199"/>
      <c r="J15" s="200"/>
    </row>
    <row r="16" spans="1:14" ht="60" x14ac:dyDescent="0.2">
      <c r="A16" s="100" t="s">
        <v>57</v>
      </c>
      <c r="B16" s="184" t="s">
        <v>31</v>
      </c>
      <c r="C16" s="184" t="s">
        <v>32</v>
      </c>
      <c r="D16" s="100" t="s">
        <v>46</v>
      </c>
      <c r="E16" s="100" t="s">
        <v>34</v>
      </c>
      <c r="F16" s="100" t="s">
        <v>35</v>
      </c>
      <c r="G16" s="184" t="s">
        <v>58</v>
      </c>
      <c r="H16" s="187">
        <v>2023</v>
      </c>
      <c r="I16" s="199"/>
      <c r="J16" s="200"/>
    </row>
    <row r="17" spans="1:10" ht="75" x14ac:dyDescent="0.2">
      <c r="A17" s="100" t="s">
        <v>59</v>
      </c>
      <c r="B17" s="184" t="s">
        <v>31</v>
      </c>
      <c r="C17" s="184" t="s">
        <v>32</v>
      </c>
      <c r="D17" s="100" t="s">
        <v>46</v>
      </c>
      <c r="E17" s="100" t="s">
        <v>34</v>
      </c>
      <c r="F17" s="100" t="s">
        <v>35</v>
      </c>
      <c r="G17" s="184" t="s">
        <v>60</v>
      </c>
      <c r="H17" s="187">
        <v>2023</v>
      </c>
      <c r="I17" s="199"/>
      <c r="J17" s="200"/>
    </row>
    <row r="18" spans="1:10" ht="45" x14ac:dyDescent="0.2">
      <c r="A18" s="100">
        <v>5084</v>
      </c>
      <c r="B18" s="184" t="s">
        <v>31</v>
      </c>
      <c r="C18" s="184" t="s">
        <v>32</v>
      </c>
      <c r="D18" s="100" t="s">
        <v>33</v>
      </c>
      <c r="E18" s="100" t="s">
        <v>61</v>
      </c>
      <c r="F18" s="100" t="s">
        <v>62</v>
      </c>
      <c r="G18" s="184" t="s">
        <v>63</v>
      </c>
      <c r="H18" s="187">
        <v>2024</v>
      </c>
      <c r="I18" s="199"/>
      <c r="J18" s="200"/>
    </row>
    <row r="19" spans="1:10" ht="45" x14ac:dyDescent="0.2">
      <c r="A19" s="100">
        <v>5085</v>
      </c>
      <c r="B19" s="184" t="s">
        <v>31</v>
      </c>
      <c r="C19" s="184" t="s">
        <v>32</v>
      </c>
      <c r="D19" s="100" t="s">
        <v>33</v>
      </c>
      <c r="E19" s="100" t="s">
        <v>61</v>
      </c>
      <c r="F19" s="100" t="s">
        <v>64</v>
      </c>
      <c r="G19" s="184" t="s">
        <v>65</v>
      </c>
      <c r="H19" s="187">
        <v>2024</v>
      </c>
      <c r="I19" s="199"/>
      <c r="J19" s="200"/>
    </row>
    <row r="20" spans="1:10" ht="45" x14ac:dyDescent="0.2">
      <c r="A20" s="100">
        <v>5088</v>
      </c>
      <c r="B20" s="184" t="s">
        <v>31</v>
      </c>
      <c r="C20" s="184" t="s">
        <v>32</v>
      </c>
      <c r="D20" s="100" t="s">
        <v>33</v>
      </c>
      <c r="E20" s="100" t="s">
        <v>66</v>
      </c>
      <c r="F20" s="100" t="s">
        <v>51</v>
      </c>
      <c r="G20" s="184" t="s">
        <v>67</v>
      </c>
      <c r="H20" s="187">
        <v>2024</v>
      </c>
      <c r="I20" s="199"/>
      <c r="J20" s="200"/>
    </row>
    <row r="21" spans="1:10" ht="120" x14ac:dyDescent="0.2">
      <c r="A21" s="100" t="s">
        <v>48</v>
      </c>
      <c r="B21" s="184" t="s">
        <v>31</v>
      </c>
      <c r="C21" s="184" t="s">
        <v>32</v>
      </c>
      <c r="D21" s="100" t="s">
        <v>46</v>
      </c>
      <c r="E21" s="100" t="s">
        <v>34</v>
      </c>
      <c r="F21" s="100" t="s">
        <v>35</v>
      </c>
      <c r="G21" s="184" t="s">
        <v>68</v>
      </c>
      <c r="H21" s="187">
        <v>2024</v>
      </c>
      <c r="I21" s="199"/>
      <c r="J21" s="200"/>
    </row>
    <row r="22" spans="1:10" ht="30" x14ac:dyDescent="0.2">
      <c r="A22" s="100" t="s">
        <v>69</v>
      </c>
      <c r="B22" s="184" t="s">
        <v>31</v>
      </c>
      <c r="C22" s="184" t="s">
        <v>32</v>
      </c>
      <c r="D22" s="100" t="s">
        <v>70</v>
      </c>
      <c r="E22" s="100" t="s">
        <v>34</v>
      </c>
      <c r="F22" s="100" t="s">
        <v>71</v>
      </c>
      <c r="G22" s="184" t="s">
        <v>72</v>
      </c>
      <c r="H22" s="187">
        <v>2024</v>
      </c>
      <c r="I22" s="199"/>
      <c r="J22" s="200"/>
    </row>
    <row r="23" spans="1:10" ht="90" x14ac:dyDescent="0.2">
      <c r="A23" s="100" t="s">
        <v>73</v>
      </c>
      <c r="B23" s="184" t="s">
        <v>31</v>
      </c>
      <c r="C23" s="184" t="s">
        <v>32</v>
      </c>
      <c r="D23" s="100" t="s">
        <v>74</v>
      </c>
      <c r="E23" s="100" t="s">
        <v>34</v>
      </c>
      <c r="F23" s="100" t="s">
        <v>71</v>
      </c>
      <c r="G23" s="184" t="s">
        <v>75</v>
      </c>
      <c r="H23" s="187">
        <v>2025</v>
      </c>
      <c r="I23" s="199"/>
      <c r="J23" s="200"/>
    </row>
    <row r="24" spans="1:10" ht="30" x14ac:dyDescent="0.2">
      <c r="A24" s="100" t="s">
        <v>76</v>
      </c>
      <c r="B24" s="184" t="s">
        <v>31</v>
      </c>
      <c r="C24" s="184" t="s">
        <v>32</v>
      </c>
      <c r="D24" s="100" t="s">
        <v>33</v>
      </c>
      <c r="E24" s="100" t="s">
        <v>34</v>
      </c>
      <c r="F24" s="100" t="s">
        <v>77</v>
      </c>
      <c r="G24" s="184" t="s">
        <v>78</v>
      </c>
      <c r="H24" s="187">
        <v>2025</v>
      </c>
      <c r="I24" s="199"/>
      <c r="J24" s="200"/>
    </row>
    <row r="25" spans="1:10" ht="45" x14ac:dyDescent="0.2">
      <c r="A25" s="100" t="s">
        <v>79</v>
      </c>
      <c r="B25" s="184" t="s">
        <v>31</v>
      </c>
      <c r="C25" s="184" t="s">
        <v>32</v>
      </c>
      <c r="D25" s="100" t="s">
        <v>33</v>
      </c>
      <c r="E25" s="100" t="s">
        <v>34</v>
      </c>
      <c r="F25" s="100" t="s">
        <v>51</v>
      </c>
      <c r="G25" s="184" t="s">
        <v>80</v>
      </c>
      <c r="H25" s="187">
        <v>2025</v>
      </c>
      <c r="I25" s="199"/>
      <c r="J25" s="200"/>
    </row>
    <row r="26" spans="1:10" ht="60" x14ac:dyDescent="0.2">
      <c r="A26" s="100">
        <v>4871</v>
      </c>
      <c r="B26" s="184" t="s">
        <v>31</v>
      </c>
      <c r="C26" s="184" t="s">
        <v>32</v>
      </c>
      <c r="D26" s="100" t="s">
        <v>81</v>
      </c>
      <c r="E26" s="100" t="s">
        <v>34</v>
      </c>
      <c r="F26" s="100" t="s">
        <v>82</v>
      </c>
      <c r="G26" s="184" t="s">
        <v>83</v>
      </c>
      <c r="H26" s="187">
        <v>2025</v>
      </c>
      <c r="I26" s="199"/>
      <c r="J26" s="200"/>
    </row>
    <row r="27" spans="1:10" ht="30" x14ac:dyDescent="0.2">
      <c r="A27" s="100">
        <v>5079</v>
      </c>
      <c r="B27" s="184" t="s">
        <v>31</v>
      </c>
      <c r="C27" s="184" t="s">
        <v>32</v>
      </c>
      <c r="D27" s="100" t="s">
        <v>81</v>
      </c>
      <c r="E27" s="100" t="s">
        <v>34</v>
      </c>
      <c r="F27" s="100" t="s">
        <v>84</v>
      </c>
      <c r="G27" s="184" t="s">
        <v>85</v>
      </c>
      <c r="H27" s="187">
        <v>2025</v>
      </c>
      <c r="I27" s="199"/>
      <c r="J27" s="200"/>
    </row>
    <row r="28" spans="1:10" ht="30" x14ac:dyDescent="0.2">
      <c r="A28" s="100" t="s">
        <v>86</v>
      </c>
      <c r="B28" s="184" t="s">
        <v>31</v>
      </c>
      <c r="C28" s="184" t="s">
        <v>32</v>
      </c>
      <c r="D28" s="100" t="s">
        <v>81</v>
      </c>
      <c r="E28" s="100" t="s">
        <v>34</v>
      </c>
      <c r="F28" s="100" t="s">
        <v>35</v>
      </c>
      <c r="G28" s="184" t="s">
        <v>87</v>
      </c>
      <c r="H28" s="187">
        <v>2025</v>
      </c>
      <c r="I28" s="199"/>
      <c r="J28" s="200"/>
    </row>
    <row r="29" spans="1:10" ht="30" x14ac:dyDescent="0.2">
      <c r="A29" s="100" t="s">
        <v>88</v>
      </c>
      <c r="B29" s="184" t="s">
        <v>31</v>
      </c>
      <c r="C29" s="184" t="s">
        <v>32</v>
      </c>
      <c r="D29" s="100" t="s">
        <v>81</v>
      </c>
      <c r="E29" s="100" t="s">
        <v>34</v>
      </c>
      <c r="F29" s="100" t="s">
        <v>35</v>
      </c>
      <c r="G29" s="184" t="s">
        <v>89</v>
      </c>
      <c r="H29" s="187">
        <v>2025</v>
      </c>
      <c r="I29" s="199"/>
      <c r="J29" s="200"/>
    </row>
    <row r="30" spans="1:10" ht="60" x14ac:dyDescent="0.2">
      <c r="A30" s="100" t="s">
        <v>90</v>
      </c>
      <c r="B30" s="184" t="s">
        <v>31</v>
      </c>
      <c r="C30" s="184" t="s">
        <v>32</v>
      </c>
      <c r="D30" s="100" t="s">
        <v>91</v>
      </c>
      <c r="E30" s="100" t="s">
        <v>34</v>
      </c>
      <c r="F30" s="100" t="s">
        <v>92</v>
      </c>
      <c r="G30" s="184" t="s">
        <v>93</v>
      </c>
      <c r="H30" s="187">
        <v>2025</v>
      </c>
      <c r="I30" s="199"/>
      <c r="J30" s="200"/>
    </row>
    <row r="31" spans="1:10" ht="60" x14ac:dyDescent="0.2">
      <c r="A31" s="100" t="s">
        <v>94</v>
      </c>
      <c r="B31" s="184" t="s">
        <v>31</v>
      </c>
      <c r="C31" s="184" t="s">
        <v>32</v>
      </c>
      <c r="D31" s="100" t="s">
        <v>46</v>
      </c>
      <c r="E31" s="100" t="s">
        <v>34</v>
      </c>
      <c r="F31" s="100" t="s">
        <v>95</v>
      </c>
      <c r="G31" s="184" t="s">
        <v>96</v>
      </c>
      <c r="H31" s="187">
        <v>2025</v>
      </c>
      <c r="I31" s="199"/>
      <c r="J31" s="200"/>
    </row>
    <row r="32" spans="1:10" ht="120" x14ac:dyDescent="0.2">
      <c r="A32" s="100" t="s">
        <v>48</v>
      </c>
      <c r="B32" s="184" t="s">
        <v>31</v>
      </c>
      <c r="C32" s="184" t="s">
        <v>32</v>
      </c>
      <c r="D32" s="100" t="s">
        <v>46</v>
      </c>
      <c r="E32" s="100" t="s">
        <v>34</v>
      </c>
      <c r="F32" s="100" t="s">
        <v>35</v>
      </c>
      <c r="G32" s="184" t="s">
        <v>97</v>
      </c>
      <c r="H32" s="187">
        <v>2025</v>
      </c>
      <c r="I32" s="199"/>
      <c r="J32" s="200"/>
    </row>
    <row r="33" spans="1:11" ht="45" x14ac:dyDescent="0.2">
      <c r="A33" s="100" t="s">
        <v>98</v>
      </c>
      <c r="B33" s="184" t="s">
        <v>31</v>
      </c>
      <c r="C33" s="184" t="s">
        <v>32</v>
      </c>
      <c r="D33" s="100" t="s">
        <v>99</v>
      </c>
      <c r="E33" s="100" t="s">
        <v>34</v>
      </c>
      <c r="F33" s="100" t="s">
        <v>51</v>
      </c>
      <c r="G33" s="184" t="s">
        <v>100</v>
      </c>
      <c r="H33" s="187">
        <v>2025</v>
      </c>
      <c r="I33" s="199"/>
      <c r="J33" s="200"/>
      <c r="K33" s="85"/>
    </row>
    <row r="34" spans="1:11" ht="15" x14ac:dyDescent="0.2">
      <c r="A34" s="100" t="s">
        <v>101</v>
      </c>
      <c r="B34" s="184" t="s">
        <v>31</v>
      </c>
      <c r="C34" s="184" t="s">
        <v>32</v>
      </c>
      <c r="D34" s="100" t="s">
        <v>99</v>
      </c>
      <c r="E34" s="100" t="s">
        <v>34</v>
      </c>
      <c r="F34" s="100" t="s">
        <v>102</v>
      </c>
      <c r="G34" s="184" t="s">
        <v>103</v>
      </c>
      <c r="H34" s="187">
        <v>2025</v>
      </c>
      <c r="I34" s="199"/>
      <c r="J34" s="200"/>
    </row>
    <row r="35" spans="1:11" ht="45" x14ac:dyDescent="0.2">
      <c r="A35" s="100" t="s">
        <v>104</v>
      </c>
      <c r="B35" s="184" t="s">
        <v>31</v>
      </c>
      <c r="C35" s="184" t="s">
        <v>32</v>
      </c>
      <c r="D35" s="100" t="s">
        <v>70</v>
      </c>
      <c r="E35" s="100" t="s">
        <v>34</v>
      </c>
      <c r="F35" s="100" t="s">
        <v>51</v>
      </c>
      <c r="G35" s="184" t="s">
        <v>105</v>
      </c>
      <c r="H35" s="187">
        <v>2025</v>
      </c>
      <c r="I35" s="199"/>
      <c r="J35" s="200"/>
    </row>
    <row r="36" spans="1:11" ht="45" x14ac:dyDescent="0.2">
      <c r="A36" s="100" t="s">
        <v>106</v>
      </c>
      <c r="B36" s="184" t="s">
        <v>31</v>
      </c>
      <c r="C36" s="184" t="s">
        <v>32</v>
      </c>
      <c r="D36" s="100" t="s">
        <v>70</v>
      </c>
      <c r="E36" s="100" t="s">
        <v>34</v>
      </c>
      <c r="F36" s="100" t="s">
        <v>51</v>
      </c>
      <c r="G36" s="184" t="s">
        <v>107</v>
      </c>
      <c r="H36" s="187">
        <v>2025</v>
      </c>
      <c r="I36" s="199"/>
      <c r="J36" s="200"/>
    </row>
    <row r="37" spans="1:11" ht="30" x14ac:dyDescent="0.2">
      <c r="A37" s="100" t="s">
        <v>108</v>
      </c>
      <c r="B37" s="184" t="s">
        <v>31</v>
      </c>
      <c r="C37" s="184" t="s">
        <v>32</v>
      </c>
      <c r="D37" s="100" t="s">
        <v>74</v>
      </c>
      <c r="E37" s="100" t="s">
        <v>34</v>
      </c>
      <c r="F37" s="100" t="s">
        <v>51</v>
      </c>
      <c r="G37" s="184" t="s">
        <v>109</v>
      </c>
      <c r="H37" s="187">
        <v>2026</v>
      </c>
      <c r="I37" s="199"/>
      <c r="J37" s="200"/>
    </row>
    <row r="38" spans="1:11" ht="120" x14ac:dyDescent="0.2">
      <c r="A38" s="100" t="s">
        <v>48</v>
      </c>
      <c r="B38" s="184" t="s">
        <v>31</v>
      </c>
      <c r="C38" s="184" t="s">
        <v>32</v>
      </c>
      <c r="D38" s="100" t="s">
        <v>46</v>
      </c>
      <c r="E38" s="100" t="s">
        <v>34</v>
      </c>
      <c r="F38" s="100" t="s">
        <v>35</v>
      </c>
      <c r="G38" s="184" t="s">
        <v>110</v>
      </c>
      <c r="H38" s="187">
        <v>2026</v>
      </c>
      <c r="I38" s="199"/>
      <c r="J38" s="200"/>
    </row>
  </sheetData>
  <sheetProtection formatCells="0" formatColumns="0" formatRows="0" sort="0" autoFilter="0" pivotTables="0"/>
  <sortState xmlns:xlrd2="http://schemas.microsoft.com/office/spreadsheetml/2017/richdata2" ref="A7:J38">
    <sortCondition ref="H7:H38"/>
    <sortCondition ref="D7:D38"/>
  </sortState>
  <mergeCells count="2">
    <mergeCell ref="A1:J1"/>
    <mergeCell ref="A2:J2"/>
  </mergeCells>
  <printOptions horizontalCentered="1"/>
  <pageMargins left="0.75" right="0.75" top="1" bottom="1" header="0.5" footer="0.5"/>
  <pageSetup scale="63" fitToHeight="0" orientation="landscape" r:id="rId1"/>
  <headerFooter scaleWithDoc="0">
    <oddHeader>&amp;RPetitioner's Exhibit No. 2
Attachment  &amp;A
CEI South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EAFD-C6FE-4A46-A56B-EACD1F4A3AAF}">
  <sheetPr codeName="Sheet4">
    <pageSetUpPr fitToPage="1"/>
  </sheetPr>
  <dimension ref="A1:J155"/>
  <sheetViews>
    <sheetView view="pageLayout" topLeftCell="B1" zoomScale="90" zoomScaleNormal="80" zoomScalePageLayoutView="90" workbookViewId="0">
      <selection activeCell="A7" sqref="A7"/>
    </sheetView>
  </sheetViews>
  <sheetFormatPr defaultColWidth="9.140625" defaultRowHeight="12.75" x14ac:dyDescent="0.2"/>
  <cols>
    <col min="1" max="1" width="24.5703125" style="81" bestFit="1" customWidth="1"/>
    <col min="2" max="2" width="27.42578125" style="82" bestFit="1" customWidth="1"/>
    <col min="3" max="3" width="27.7109375" style="82" bestFit="1" customWidth="1"/>
    <col min="4" max="4" width="36.28515625" style="83" bestFit="1" customWidth="1"/>
    <col min="5" max="5" width="11.5703125" style="81" bestFit="1" customWidth="1"/>
    <col min="6" max="6" width="21.140625" style="82" bestFit="1" customWidth="1"/>
    <col min="7" max="7" width="79.5703125" style="82" bestFit="1" customWidth="1"/>
    <col min="8" max="8" width="13.42578125" style="82" customWidth="1"/>
    <col min="9" max="9" width="15.85546875" style="84" customWidth="1"/>
    <col min="10" max="10" width="15.140625" style="84" bestFit="1" customWidth="1"/>
    <col min="11" max="11" width="18.42578125" style="85" bestFit="1" customWidth="1"/>
    <col min="12" max="12" width="7.140625" style="85" bestFit="1" customWidth="1"/>
    <col min="13" max="16384" width="9.140625" style="85"/>
  </cols>
  <sheetData>
    <row r="1" spans="1:10" s="25" customFormat="1" ht="18" x14ac:dyDescent="0.25">
      <c r="A1" s="215" t="s">
        <v>2</v>
      </c>
      <c r="B1" s="215"/>
      <c r="C1" s="215"/>
      <c r="D1" s="215"/>
      <c r="E1" s="215"/>
      <c r="F1" s="215"/>
      <c r="G1" s="215"/>
      <c r="H1" s="215"/>
      <c r="I1" s="215"/>
      <c r="J1" s="215"/>
    </row>
    <row r="2" spans="1:10" s="25" customFormat="1" ht="18" customHeight="1" x14ac:dyDescent="0.25">
      <c r="A2" s="215" t="s">
        <v>111</v>
      </c>
      <c r="B2" s="215"/>
      <c r="C2" s="215"/>
      <c r="D2" s="215"/>
      <c r="E2" s="215"/>
      <c r="F2" s="215"/>
      <c r="G2" s="215"/>
      <c r="H2" s="215"/>
      <c r="I2" s="215"/>
      <c r="J2" s="215"/>
    </row>
    <row r="3" spans="1:10" s="25" customFormat="1" ht="18" x14ac:dyDescent="0.2">
      <c r="A3" s="26"/>
      <c r="B3" s="27"/>
      <c r="C3" s="28"/>
      <c r="D3" s="29"/>
      <c r="E3" s="30"/>
      <c r="F3" s="31"/>
      <c r="G3" s="31"/>
      <c r="H3" s="31"/>
      <c r="I3" s="32"/>
      <c r="J3" s="32"/>
    </row>
    <row r="4" spans="1:10" s="25" customFormat="1" ht="18" x14ac:dyDescent="0.25">
      <c r="A4" s="33"/>
      <c r="B4" s="34"/>
      <c r="C4" s="21"/>
      <c r="D4" s="35"/>
      <c r="E4" s="36"/>
      <c r="F4" s="37"/>
      <c r="G4" s="37"/>
      <c r="H4" s="37"/>
      <c r="I4" s="38"/>
      <c r="J4" s="38"/>
    </row>
    <row r="5" spans="1:10" s="25" customFormat="1" ht="14.25" x14ac:dyDescent="0.2">
      <c r="A5" s="39"/>
      <c r="B5" s="40"/>
      <c r="C5" s="21"/>
      <c r="D5" s="21"/>
      <c r="E5" s="39"/>
      <c r="F5" s="41"/>
      <c r="G5" s="41"/>
      <c r="H5" s="41"/>
      <c r="I5" s="38"/>
      <c r="J5" s="38"/>
    </row>
    <row r="6" spans="1:10" s="42" customFormat="1" ht="49.5" customHeight="1" x14ac:dyDescent="0.25">
      <c r="A6" s="79" t="s">
        <v>20</v>
      </c>
      <c r="B6" s="79" t="s">
        <v>21</v>
      </c>
      <c r="C6" s="79" t="s">
        <v>22</v>
      </c>
      <c r="D6" s="79" t="s">
        <v>23</v>
      </c>
      <c r="E6" s="79" t="s">
        <v>24</v>
      </c>
      <c r="F6" s="79" t="s">
        <v>25</v>
      </c>
      <c r="G6" s="79" t="s">
        <v>26</v>
      </c>
      <c r="H6" s="79" t="s">
        <v>27</v>
      </c>
      <c r="I6" s="79" t="s">
        <v>28</v>
      </c>
      <c r="J6" s="80" t="s">
        <v>29</v>
      </c>
    </row>
    <row r="7" spans="1:10" ht="120" x14ac:dyDescent="0.2">
      <c r="A7" s="100" t="s">
        <v>112</v>
      </c>
      <c r="B7" s="184">
        <v>17637120</v>
      </c>
      <c r="C7" s="186" t="s">
        <v>113</v>
      </c>
      <c r="D7" s="100" t="s">
        <v>74</v>
      </c>
      <c r="E7" s="100" t="s">
        <v>34</v>
      </c>
      <c r="F7" s="100" t="s">
        <v>95</v>
      </c>
      <c r="G7" s="184" t="s">
        <v>114</v>
      </c>
      <c r="H7" s="187">
        <v>2022</v>
      </c>
      <c r="I7" s="199"/>
      <c r="J7" s="200"/>
    </row>
    <row r="8" spans="1:10" ht="15" x14ac:dyDescent="0.2">
      <c r="A8" s="100" t="s">
        <v>115</v>
      </c>
      <c r="B8" s="184" t="s">
        <v>31</v>
      </c>
      <c r="C8" s="186" t="s">
        <v>116</v>
      </c>
      <c r="D8" s="100" t="s">
        <v>117</v>
      </c>
      <c r="E8" s="100" t="s">
        <v>34</v>
      </c>
      <c r="F8" s="100" t="s">
        <v>118</v>
      </c>
      <c r="G8" s="184" t="s">
        <v>119</v>
      </c>
      <c r="H8" s="187">
        <v>2022</v>
      </c>
      <c r="I8" s="199"/>
      <c r="J8" s="200"/>
    </row>
    <row r="9" spans="1:10" ht="90" x14ac:dyDescent="0.2">
      <c r="A9" s="100" t="s">
        <v>120</v>
      </c>
      <c r="B9" s="184">
        <v>17637080</v>
      </c>
      <c r="C9" s="186" t="s">
        <v>121</v>
      </c>
      <c r="D9" s="100" t="s">
        <v>122</v>
      </c>
      <c r="E9" s="100" t="s">
        <v>34</v>
      </c>
      <c r="F9" s="100" t="s">
        <v>35</v>
      </c>
      <c r="G9" s="184" t="s">
        <v>123</v>
      </c>
      <c r="H9" s="187">
        <v>2022</v>
      </c>
      <c r="I9" s="199"/>
      <c r="J9" s="200"/>
    </row>
    <row r="10" spans="1:10" ht="90" x14ac:dyDescent="0.2">
      <c r="A10" s="100" t="s">
        <v>124</v>
      </c>
      <c r="B10" s="184">
        <v>17637040</v>
      </c>
      <c r="C10" s="186" t="s">
        <v>125</v>
      </c>
      <c r="D10" s="100" t="s">
        <v>122</v>
      </c>
      <c r="E10" s="100" t="s">
        <v>34</v>
      </c>
      <c r="F10" s="100" t="s">
        <v>35</v>
      </c>
      <c r="G10" s="184" t="s">
        <v>126</v>
      </c>
      <c r="H10" s="187">
        <v>2022</v>
      </c>
      <c r="I10" s="199"/>
      <c r="J10" s="200"/>
    </row>
    <row r="11" spans="1:10" ht="15" x14ac:dyDescent="0.2">
      <c r="A11" s="100" t="s">
        <v>127</v>
      </c>
      <c r="B11" s="184" t="s">
        <v>115</v>
      </c>
      <c r="C11" s="186" t="s">
        <v>128</v>
      </c>
      <c r="D11" s="100" t="s">
        <v>129</v>
      </c>
      <c r="E11" s="100" t="s">
        <v>34</v>
      </c>
      <c r="F11" s="100" t="s">
        <v>118</v>
      </c>
      <c r="G11" s="184" t="s">
        <v>130</v>
      </c>
      <c r="H11" s="187">
        <v>2022</v>
      </c>
      <c r="I11" s="199"/>
      <c r="J11" s="200"/>
    </row>
    <row r="12" spans="1:10" ht="90" x14ac:dyDescent="0.2">
      <c r="A12" s="100" t="s">
        <v>131</v>
      </c>
      <c r="B12" s="184">
        <v>17637085</v>
      </c>
      <c r="C12" s="186" t="s">
        <v>132</v>
      </c>
      <c r="D12" s="100" t="s">
        <v>129</v>
      </c>
      <c r="E12" s="100" t="s">
        <v>34</v>
      </c>
      <c r="F12" s="100" t="s">
        <v>35</v>
      </c>
      <c r="G12" s="184" t="s">
        <v>133</v>
      </c>
      <c r="H12" s="187">
        <v>2022</v>
      </c>
      <c r="I12" s="199"/>
      <c r="J12" s="200"/>
    </row>
    <row r="13" spans="1:10" ht="120" x14ac:dyDescent="0.2">
      <c r="A13" s="100" t="s">
        <v>134</v>
      </c>
      <c r="B13" s="184">
        <v>17637091</v>
      </c>
      <c r="C13" s="186" t="s">
        <v>135</v>
      </c>
      <c r="D13" s="100" t="s">
        <v>129</v>
      </c>
      <c r="E13" s="100" t="s">
        <v>34</v>
      </c>
      <c r="F13" s="100" t="s">
        <v>35</v>
      </c>
      <c r="G13" s="184" t="s">
        <v>136</v>
      </c>
      <c r="H13" s="187">
        <v>2022</v>
      </c>
      <c r="I13" s="199"/>
      <c r="J13" s="200"/>
    </row>
    <row r="14" spans="1:10" ht="180" x14ac:dyDescent="0.2">
      <c r="A14" s="100" t="s">
        <v>137</v>
      </c>
      <c r="B14" s="184">
        <v>17637093</v>
      </c>
      <c r="C14" s="186" t="s">
        <v>138</v>
      </c>
      <c r="D14" s="100" t="s">
        <v>129</v>
      </c>
      <c r="E14" s="100" t="s">
        <v>34</v>
      </c>
      <c r="F14" s="100" t="s">
        <v>35</v>
      </c>
      <c r="G14" s="184" t="s">
        <v>139</v>
      </c>
      <c r="H14" s="187">
        <v>2022</v>
      </c>
      <c r="I14" s="199"/>
      <c r="J14" s="200"/>
    </row>
    <row r="15" spans="1:10" ht="15" x14ac:dyDescent="0.2">
      <c r="A15" s="100" t="s">
        <v>140</v>
      </c>
      <c r="B15" s="184">
        <v>17637103</v>
      </c>
      <c r="C15" s="186" t="s">
        <v>141</v>
      </c>
      <c r="D15" s="100" t="s">
        <v>129</v>
      </c>
      <c r="E15" s="100" t="s">
        <v>34</v>
      </c>
      <c r="F15" s="100" t="s">
        <v>35</v>
      </c>
      <c r="G15" s="184" t="s">
        <v>142</v>
      </c>
      <c r="H15" s="187">
        <v>2022</v>
      </c>
      <c r="I15" s="199"/>
      <c r="J15" s="200"/>
    </row>
    <row r="16" spans="1:10" ht="210" x14ac:dyDescent="0.2">
      <c r="A16" s="100" t="s">
        <v>143</v>
      </c>
      <c r="B16" s="184">
        <v>18179951</v>
      </c>
      <c r="C16" s="186" t="s">
        <v>144</v>
      </c>
      <c r="D16" s="100" t="s">
        <v>129</v>
      </c>
      <c r="E16" s="100" t="s">
        <v>34</v>
      </c>
      <c r="F16" s="100" t="s">
        <v>35</v>
      </c>
      <c r="G16" s="184" t="s">
        <v>145</v>
      </c>
      <c r="H16" s="187">
        <v>2022</v>
      </c>
      <c r="I16" s="199"/>
      <c r="J16" s="200"/>
    </row>
    <row r="17" spans="1:10" ht="195" x14ac:dyDescent="0.2">
      <c r="A17" s="100" t="s">
        <v>146</v>
      </c>
      <c r="B17" s="184">
        <v>18179954</v>
      </c>
      <c r="C17" s="186" t="s">
        <v>147</v>
      </c>
      <c r="D17" s="100" t="s">
        <v>129</v>
      </c>
      <c r="E17" s="100" t="s">
        <v>34</v>
      </c>
      <c r="F17" s="100" t="s">
        <v>35</v>
      </c>
      <c r="G17" s="184" t="s">
        <v>148</v>
      </c>
      <c r="H17" s="187">
        <v>2022</v>
      </c>
      <c r="I17" s="199"/>
      <c r="J17" s="200"/>
    </row>
    <row r="18" spans="1:10" ht="194.25" customHeight="1" x14ac:dyDescent="0.2">
      <c r="A18" s="100" t="s">
        <v>149</v>
      </c>
      <c r="B18" s="184">
        <v>18179959</v>
      </c>
      <c r="C18" s="186" t="s">
        <v>150</v>
      </c>
      <c r="D18" s="100" t="s">
        <v>129</v>
      </c>
      <c r="E18" s="100" t="s">
        <v>34</v>
      </c>
      <c r="F18" s="100" t="s">
        <v>35</v>
      </c>
      <c r="G18" s="184" t="s">
        <v>151</v>
      </c>
      <c r="H18" s="187">
        <v>2022</v>
      </c>
      <c r="I18" s="199"/>
      <c r="J18" s="200"/>
    </row>
    <row r="19" spans="1:10" ht="90" x14ac:dyDescent="0.2">
      <c r="A19" s="100" t="s">
        <v>152</v>
      </c>
      <c r="B19" s="184">
        <v>16319393</v>
      </c>
      <c r="C19" s="186" t="s">
        <v>153</v>
      </c>
      <c r="D19" s="100" t="s">
        <v>129</v>
      </c>
      <c r="E19" s="100" t="s">
        <v>34</v>
      </c>
      <c r="F19" s="100" t="s">
        <v>154</v>
      </c>
      <c r="G19" s="184" t="s">
        <v>155</v>
      </c>
      <c r="H19" s="187">
        <v>2022</v>
      </c>
      <c r="I19" s="199"/>
      <c r="J19" s="200"/>
    </row>
    <row r="20" spans="1:10" ht="75" x14ac:dyDescent="0.2">
      <c r="A20" s="100" t="s">
        <v>156</v>
      </c>
      <c r="B20" s="184">
        <v>17637068</v>
      </c>
      <c r="C20" s="186" t="s">
        <v>157</v>
      </c>
      <c r="D20" s="100" t="s">
        <v>129</v>
      </c>
      <c r="E20" s="100" t="s">
        <v>34</v>
      </c>
      <c r="F20" s="100" t="s">
        <v>35</v>
      </c>
      <c r="G20" s="184" t="s">
        <v>158</v>
      </c>
      <c r="H20" s="187">
        <v>2022</v>
      </c>
      <c r="I20" s="199"/>
      <c r="J20" s="200"/>
    </row>
    <row r="21" spans="1:10" ht="75" x14ac:dyDescent="0.2">
      <c r="A21" s="100" t="s">
        <v>159</v>
      </c>
      <c r="B21" s="184">
        <v>17637076</v>
      </c>
      <c r="C21" s="186" t="s">
        <v>160</v>
      </c>
      <c r="D21" s="100" t="s">
        <v>129</v>
      </c>
      <c r="E21" s="100" t="s">
        <v>34</v>
      </c>
      <c r="F21" s="100" t="s">
        <v>35</v>
      </c>
      <c r="G21" s="184" t="s">
        <v>161</v>
      </c>
      <c r="H21" s="187">
        <v>2022</v>
      </c>
      <c r="I21" s="199"/>
      <c r="J21" s="200"/>
    </row>
    <row r="22" spans="1:10" ht="15" x14ac:dyDescent="0.2">
      <c r="A22" s="100" t="s">
        <v>115</v>
      </c>
      <c r="B22" s="184" t="s">
        <v>31</v>
      </c>
      <c r="C22" s="186" t="s">
        <v>162</v>
      </c>
      <c r="D22" s="100" t="s">
        <v>81</v>
      </c>
      <c r="E22" s="100" t="s">
        <v>34</v>
      </c>
      <c r="F22" s="100" t="s">
        <v>118</v>
      </c>
      <c r="G22" s="184" t="s">
        <v>163</v>
      </c>
      <c r="H22" s="187">
        <v>2022</v>
      </c>
      <c r="I22" s="199"/>
      <c r="J22" s="200"/>
    </row>
    <row r="23" spans="1:10" ht="30" x14ac:dyDescent="0.2">
      <c r="A23" s="100" t="s">
        <v>164</v>
      </c>
      <c r="B23" s="184">
        <v>18797488</v>
      </c>
      <c r="C23" s="186" t="s">
        <v>165</v>
      </c>
      <c r="D23" s="100" t="s">
        <v>166</v>
      </c>
      <c r="E23" s="100" t="s">
        <v>34</v>
      </c>
      <c r="F23" s="100" t="s">
        <v>84</v>
      </c>
      <c r="G23" s="184" t="s">
        <v>167</v>
      </c>
      <c r="H23" s="187">
        <v>2022</v>
      </c>
      <c r="I23" s="199"/>
      <c r="J23" s="200"/>
    </row>
    <row r="24" spans="1:10" ht="30" x14ac:dyDescent="0.2">
      <c r="A24" s="100" t="s">
        <v>168</v>
      </c>
      <c r="B24" s="184">
        <v>18799043</v>
      </c>
      <c r="C24" s="186" t="s">
        <v>169</v>
      </c>
      <c r="D24" s="100" t="s">
        <v>166</v>
      </c>
      <c r="E24" s="100" t="s">
        <v>34</v>
      </c>
      <c r="F24" s="100" t="s">
        <v>82</v>
      </c>
      <c r="G24" s="184" t="s">
        <v>170</v>
      </c>
      <c r="H24" s="187">
        <v>2022</v>
      </c>
      <c r="I24" s="199"/>
      <c r="J24" s="200"/>
    </row>
    <row r="25" spans="1:10" ht="30" x14ac:dyDescent="0.2">
      <c r="A25" s="100" t="s">
        <v>171</v>
      </c>
      <c r="B25" s="184">
        <v>18768674</v>
      </c>
      <c r="C25" s="186" t="s">
        <v>32</v>
      </c>
      <c r="D25" s="100" t="s">
        <v>99</v>
      </c>
      <c r="E25" s="100" t="s">
        <v>34</v>
      </c>
      <c r="F25" s="100" t="s">
        <v>172</v>
      </c>
      <c r="G25" s="184" t="s">
        <v>173</v>
      </c>
      <c r="H25" s="187">
        <v>2022</v>
      </c>
      <c r="I25" s="199"/>
      <c r="J25" s="200"/>
    </row>
    <row r="26" spans="1:10" ht="30" x14ac:dyDescent="0.2">
      <c r="A26" s="100" t="s">
        <v>174</v>
      </c>
      <c r="B26" s="184">
        <v>18771527</v>
      </c>
      <c r="C26" s="186" t="s">
        <v>32</v>
      </c>
      <c r="D26" s="100" t="s">
        <v>99</v>
      </c>
      <c r="E26" s="100" t="s">
        <v>34</v>
      </c>
      <c r="F26" s="100" t="s">
        <v>175</v>
      </c>
      <c r="G26" s="184" t="s">
        <v>176</v>
      </c>
      <c r="H26" s="187">
        <v>2022</v>
      </c>
      <c r="I26" s="199"/>
      <c r="J26" s="200"/>
    </row>
    <row r="27" spans="1:10" ht="45" x14ac:dyDescent="0.2">
      <c r="A27" s="100" t="s">
        <v>177</v>
      </c>
      <c r="B27" s="184">
        <v>18771623</v>
      </c>
      <c r="C27" s="186" t="s">
        <v>32</v>
      </c>
      <c r="D27" s="100" t="s">
        <v>99</v>
      </c>
      <c r="E27" s="100" t="s">
        <v>34</v>
      </c>
      <c r="F27" s="100" t="s">
        <v>35</v>
      </c>
      <c r="G27" s="184" t="s">
        <v>178</v>
      </c>
      <c r="H27" s="187">
        <v>2022</v>
      </c>
      <c r="I27" s="199"/>
      <c r="J27" s="200"/>
    </row>
    <row r="28" spans="1:10" ht="60" x14ac:dyDescent="0.2">
      <c r="A28" s="100" t="s">
        <v>179</v>
      </c>
      <c r="B28" s="184">
        <v>18771698</v>
      </c>
      <c r="C28" s="186" t="s">
        <v>32</v>
      </c>
      <c r="D28" s="100" t="s">
        <v>99</v>
      </c>
      <c r="E28" s="100" t="s">
        <v>34</v>
      </c>
      <c r="F28" s="100" t="s">
        <v>180</v>
      </c>
      <c r="G28" s="184" t="s">
        <v>181</v>
      </c>
      <c r="H28" s="187">
        <v>2022</v>
      </c>
      <c r="I28" s="199"/>
      <c r="J28" s="200"/>
    </row>
    <row r="29" spans="1:10" ht="30" x14ac:dyDescent="0.2">
      <c r="A29" s="100" t="s">
        <v>182</v>
      </c>
      <c r="B29" s="184">
        <v>18352713</v>
      </c>
      <c r="C29" s="186" t="s">
        <v>183</v>
      </c>
      <c r="D29" s="100" t="s">
        <v>99</v>
      </c>
      <c r="E29" s="100" t="s">
        <v>34</v>
      </c>
      <c r="F29" s="100" t="s">
        <v>184</v>
      </c>
      <c r="G29" s="184" t="s">
        <v>185</v>
      </c>
      <c r="H29" s="187">
        <v>2022</v>
      </c>
      <c r="I29" s="199"/>
      <c r="J29" s="200"/>
    </row>
    <row r="30" spans="1:10" ht="30" x14ac:dyDescent="0.2">
      <c r="A30" s="100" t="s">
        <v>186</v>
      </c>
      <c r="B30" s="184">
        <v>18352711</v>
      </c>
      <c r="C30" s="186" t="s">
        <v>187</v>
      </c>
      <c r="D30" s="100" t="s">
        <v>99</v>
      </c>
      <c r="E30" s="100" t="s">
        <v>34</v>
      </c>
      <c r="F30" s="100" t="s">
        <v>188</v>
      </c>
      <c r="G30" s="184" t="s">
        <v>189</v>
      </c>
      <c r="H30" s="187">
        <v>2022</v>
      </c>
      <c r="I30" s="199"/>
      <c r="J30" s="200"/>
    </row>
    <row r="31" spans="1:10" ht="30" x14ac:dyDescent="0.2">
      <c r="A31" s="100" t="s">
        <v>190</v>
      </c>
      <c r="B31" s="184">
        <v>18352676</v>
      </c>
      <c r="C31" s="186" t="s">
        <v>191</v>
      </c>
      <c r="D31" s="100" t="s">
        <v>99</v>
      </c>
      <c r="E31" s="100" t="s">
        <v>34</v>
      </c>
      <c r="F31" s="100" t="s">
        <v>192</v>
      </c>
      <c r="G31" s="184" t="s">
        <v>193</v>
      </c>
      <c r="H31" s="187">
        <v>2022</v>
      </c>
      <c r="I31" s="199"/>
      <c r="J31" s="200"/>
    </row>
    <row r="32" spans="1:10" ht="30" x14ac:dyDescent="0.2">
      <c r="A32" s="100" t="s">
        <v>194</v>
      </c>
      <c r="B32" s="184">
        <v>18352634</v>
      </c>
      <c r="C32" s="186" t="s">
        <v>195</v>
      </c>
      <c r="D32" s="100" t="s">
        <v>99</v>
      </c>
      <c r="E32" s="100" t="s">
        <v>34</v>
      </c>
      <c r="F32" s="100" t="s">
        <v>95</v>
      </c>
      <c r="G32" s="184" t="s">
        <v>196</v>
      </c>
      <c r="H32" s="187">
        <v>2022</v>
      </c>
      <c r="I32" s="199"/>
      <c r="J32" s="200"/>
    </row>
    <row r="33" spans="1:10" ht="30" x14ac:dyDescent="0.2">
      <c r="A33" s="100" t="s">
        <v>197</v>
      </c>
      <c r="B33" s="184">
        <v>18352593</v>
      </c>
      <c r="C33" s="186" t="s">
        <v>198</v>
      </c>
      <c r="D33" s="100" t="s">
        <v>99</v>
      </c>
      <c r="E33" s="100" t="s">
        <v>34</v>
      </c>
      <c r="F33" s="100" t="s">
        <v>199</v>
      </c>
      <c r="G33" s="184" t="s">
        <v>200</v>
      </c>
      <c r="H33" s="187">
        <v>2022</v>
      </c>
      <c r="I33" s="199"/>
      <c r="J33" s="200"/>
    </row>
    <row r="34" spans="1:10" ht="30" x14ac:dyDescent="0.2">
      <c r="A34" s="100" t="s">
        <v>201</v>
      </c>
      <c r="B34" s="184">
        <v>18352571</v>
      </c>
      <c r="C34" s="186" t="s">
        <v>202</v>
      </c>
      <c r="D34" s="100" t="s">
        <v>99</v>
      </c>
      <c r="E34" s="100" t="s">
        <v>34</v>
      </c>
      <c r="F34" s="100" t="s">
        <v>95</v>
      </c>
      <c r="G34" s="184" t="s">
        <v>203</v>
      </c>
      <c r="H34" s="187">
        <v>2022</v>
      </c>
      <c r="I34" s="199"/>
      <c r="J34" s="200"/>
    </row>
    <row r="35" spans="1:10" ht="30" x14ac:dyDescent="0.2">
      <c r="A35" s="100" t="s">
        <v>204</v>
      </c>
      <c r="B35" s="184">
        <v>18352562</v>
      </c>
      <c r="C35" s="186" t="s">
        <v>205</v>
      </c>
      <c r="D35" s="100" t="s">
        <v>99</v>
      </c>
      <c r="E35" s="100" t="s">
        <v>34</v>
      </c>
      <c r="F35" s="100" t="s">
        <v>35</v>
      </c>
      <c r="G35" s="184" t="s">
        <v>206</v>
      </c>
      <c r="H35" s="187">
        <v>2022</v>
      </c>
      <c r="I35" s="199"/>
      <c r="J35" s="200"/>
    </row>
    <row r="36" spans="1:10" ht="30" x14ac:dyDescent="0.2">
      <c r="A36" s="100" t="s">
        <v>207</v>
      </c>
      <c r="B36" s="184">
        <v>18352548</v>
      </c>
      <c r="C36" s="186" t="s">
        <v>208</v>
      </c>
      <c r="D36" s="100" t="s">
        <v>99</v>
      </c>
      <c r="E36" s="100" t="s">
        <v>34</v>
      </c>
      <c r="F36" s="100" t="s">
        <v>154</v>
      </c>
      <c r="G36" s="184" t="s">
        <v>209</v>
      </c>
      <c r="H36" s="187">
        <v>2022</v>
      </c>
      <c r="I36" s="199"/>
      <c r="J36" s="200"/>
    </row>
    <row r="37" spans="1:10" ht="30" x14ac:dyDescent="0.2">
      <c r="A37" s="100" t="s">
        <v>210</v>
      </c>
      <c r="B37" s="184">
        <v>18352369</v>
      </c>
      <c r="C37" s="186" t="s">
        <v>211</v>
      </c>
      <c r="D37" s="100" t="s">
        <v>99</v>
      </c>
      <c r="E37" s="100" t="s">
        <v>34</v>
      </c>
      <c r="F37" s="100" t="s">
        <v>35</v>
      </c>
      <c r="G37" s="184" t="s">
        <v>212</v>
      </c>
      <c r="H37" s="187">
        <v>2022</v>
      </c>
      <c r="I37" s="199"/>
      <c r="J37" s="200"/>
    </row>
    <row r="38" spans="1:10" ht="30" x14ac:dyDescent="0.2">
      <c r="A38" s="100" t="s">
        <v>213</v>
      </c>
      <c r="B38" s="184">
        <v>18352692</v>
      </c>
      <c r="C38" s="186" t="s">
        <v>214</v>
      </c>
      <c r="D38" s="100" t="s">
        <v>99</v>
      </c>
      <c r="E38" s="100" t="s">
        <v>34</v>
      </c>
      <c r="F38" s="100" t="s">
        <v>215</v>
      </c>
      <c r="G38" s="184" t="s">
        <v>216</v>
      </c>
      <c r="H38" s="187">
        <v>2022</v>
      </c>
      <c r="I38" s="199"/>
      <c r="J38" s="200"/>
    </row>
    <row r="39" spans="1:10" ht="30" x14ac:dyDescent="0.2">
      <c r="A39" s="100" t="s">
        <v>217</v>
      </c>
      <c r="B39" s="184">
        <v>18352652</v>
      </c>
      <c r="C39" s="186" t="s">
        <v>218</v>
      </c>
      <c r="D39" s="100" t="s">
        <v>99</v>
      </c>
      <c r="E39" s="100" t="s">
        <v>34</v>
      </c>
      <c r="F39" s="100" t="s">
        <v>219</v>
      </c>
      <c r="G39" s="184" t="s">
        <v>220</v>
      </c>
      <c r="H39" s="187">
        <v>2022</v>
      </c>
      <c r="I39" s="199"/>
      <c r="J39" s="200"/>
    </row>
    <row r="40" spans="1:10" ht="120" x14ac:dyDescent="0.2">
      <c r="A40" s="100" t="s">
        <v>221</v>
      </c>
      <c r="B40" s="184">
        <v>18723776</v>
      </c>
      <c r="C40" s="186" t="s">
        <v>222</v>
      </c>
      <c r="D40" s="100" t="s">
        <v>74</v>
      </c>
      <c r="E40" s="100" t="s">
        <v>34</v>
      </c>
      <c r="F40" s="100" t="s">
        <v>188</v>
      </c>
      <c r="G40" s="184" t="s">
        <v>223</v>
      </c>
      <c r="H40" s="187">
        <v>2023</v>
      </c>
      <c r="I40" s="199"/>
      <c r="J40" s="200"/>
    </row>
    <row r="41" spans="1:10" ht="120" x14ac:dyDescent="0.2">
      <c r="A41" s="100" t="s">
        <v>224</v>
      </c>
      <c r="B41" s="184">
        <v>18723779</v>
      </c>
      <c r="C41" s="186" t="s">
        <v>225</v>
      </c>
      <c r="D41" s="100" t="s">
        <v>74</v>
      </c>
      <c r="E41" s="100" t="s">
        <v>34</v>
      </c>
      <c r="F41" s="100" t="s">
        <v>188</v>
      </c>
      <c r="G41" s="184" t="s">
        <v>226</v>
      </c>
      <c r="H41" s="187">
        <v>2023</v>
      </c>
      <c r="I41" s="199"/>
      <c r="J41" s="200"/>
    </row>
    <row r="42" spans="1:10" ht="135" x14ac:dyDescent="0.2">
      <c r="A42" s="100" t="s">
        <v>227</v>
      </c>
      <c r="B42" s="184">
        <v>18723805</v>
      </c>
      <c r="C42" s="186" t="s">
        <v>228</v>
      </c>
      <c r="D42" s="100" t="s">
        <v>74</v>
      </c>
      <c r="E42" s="100" t="s">
        <v>34</v>
      </c>
      <c r="F42" s="100" t="s">
        <v>35</v>
      </c>
      <c r="G42" s="184" t="s">
        <v>229</v>
      </c>
      <c r="H42" s="187">
        <v>2023</v>
      </c>
      <c r="I42" s="199"/>
      <c r="J42" s="200"/>
    </row>
    <row r="43" spans="1:10" ht="105" x14ac:dyDescent="0.2">
      <c r="A43" s="100" t="s">
        <v>230</v>
      </c>
      <c r="B43" s="184">
        <v>18580569</v>
      </c>
      <c r="C43" s="186" t="s">
        <v>231</v>
      </c>
      <c r="D43" s="100" t="s">
        <v>74</v>
      </c>
      <c r="E43" s="100" t="s">
        <v>34</v>
      </c>
      <c r="F43" s="100" t="s">
        <v>35</v>
      </c>
      <c r="G43" s="184" t="s">
        <v>232</v>
      </c>
      <c r="H43" s="187">
        <v>2023</v>
      </c>
      <c r="I43" s="199"/>
      <c r="J43" s="200"/>
    </row>
    <row r="44" spans="1:10" ht="90" x14ac:dyDescent="0.2">
      <c r="A44" s="100" t="s">
        <v>233</v>
      </c>
      <c r="B44" s="184">
        <v>18589017</v>
      </c>
      <c r="C44" s="188" t="s">
        <v>234</v>
      </c>
      <c r="D44" s="100" t="s">
        <v>74</v>
      </c>
      <c r="E44" s="100" t="s">
        <v>34</v>
      </c>
      <c r="F44" s="100" t="s">
        <v>102</v>
      </c>
      <c r="G44" s="184" t="s">
        <v>235</v>
      </c>
      <c r="H44" s="187">
        <v>2023</v>
      </c>
      <c r="I44" s="199"/>
      <c r="J44" s="200"/>
    </row>
    <row r="45" spans="1:10" ht="15" x14ac:dyDescent="0.2">
      <c r="A45" s="100" t="s">
        <v>115</v>
      </c>
      <c r="B45" s="184" t="s">
        <v>31</v>
      </c>
      <c r="C45" s="186" t="s">
        <v>116</v>
      </c>
      <c r="D45" s="100" t="s">
        <v>117</v>
      </c>
      <c r="E45" s="100" t="s">
        <v>34</v>
      </c>
      <c r="F45" s="100" t="s">
        <v>118</v>
      </c>
      <c r="G45" s="184" t="s">
        <v>119</v>
      </c>
      <c r="H45" s="187">
        <v>2023</v>
      </c>
      <c r="I45" s="199"/>
      <c r="J45" s="200"/>
    </row>
    <row r="46" spans="1:10" ht="75" x14ac:dyDescent="0.2">
      <c r="A46" s="100" t="s">
        <v>236</v>
      </c>
      <c r="B46" s="184">
        <v>18589026</v>
      </c>
      <c r="C46" s="188" t="s">
        <v>237</v>
      </c>
      <c r="D46" s="100" t="s">
        <v>122</v>
      </c>
      <c r="E46" s="100" t="s">
        <v>34</v>
      </c>
      <c r="F46" s="100" t="s">
        <v>71</v>
      </c>
      <c r="G46" s="184" t="s">
        <v>238</v>
      </c>
      <c r="H46" s="187">
        <v>2023</v>
      </c>
      <c r="I46" s="199"/>
      <c r="J46" s="200"/>
    </row>
    <row r="47" spans="1:10" ht="105" x14ac:dyDescent="0.2">
      <c r="A47" s="100" t="s">
        <v>239</v>
      </c>
      <c r="B47" s="184">
        <v>18589059</v>
      </c>
      <c r="C47" s="188" t="s">
        <v>240</v>
      </c>
      <c r="D47" s="100" t="s">
        <v>122</v>
      </c>
      <c r="E47" s="100" t="s">
        <v>34</v>
      </c>
      <c r="F47" s="100" t="s">
        <v>95</v>
      </c>
      <c r="G47" s="184" t="s">
        <v>241</v>
      </c>
      <c r="H47" s="187">
        <v>2023</v>
      </c>
      <c r="I47" s="199"/>
      <c r="J47" s="200"/>
    </row>
    <row r="48" spans="1:10" ht="90" x14ac:dyDescent="0.2">
      <c r="A48" s="100" t="s">
        <v>242</v>
      </c>
      <c r="B48" s="184">
        <v>18726709</v>
      </c>
      <c r="C48" s="186" t="s">
        <v>243</v>
      </c>
      <c r="D48" s="100" t="s">
        <v>122</v>
      </c>
      <c r="E48" s="100" t="s">
        <v>34</v>
      </c>
      <c r="F48" s="100" t="s">
        <v>35</v>
      </c>
      <c r="G48" s="184" t="s">
        <v>244</v>
      </c>
      <c r="H48" s="187">
        <v>2023</v>
      </c>
      <c r="I48" s="199"/>
      <c r="J48" s="200"/>
    </row>
    <row r="49" spans="1:10" ht="90" x14ac:dyDescent="0.2">
      <c r="A49" s="100" t="s">
        <v>245</v>
      </c>
      <c r="B49" s="184">
        <v>18726759</v>
      </c>
      <c r="C49" s="186" t="s">
        <v>246</v>
      </c>
      <c r="D49" s="100" t="s">
        <v>122</v>
      </c>
      <c r="E49" s="100" t="s">
        <v>34</v>
      </c>
      <c r="F49" s="100" t="s">
        <v>188</v>
      </c>
      <c r="G49" s="184" t="s">
        <v>247</v>
      </c>
      <c r="H49" s="187">
        <v>2023</v>
      </c>
      <c r="I49" s="199"/>
      <c r="J49" s="200"/>
    </row>
    <row r="50" spans="1:10" ht="90" x14ac:dyDescent="0.2">
      <c r="A50" s="100" t="s">
        <v>248</v>
      </c>
      <c r="B50" s="184">
        <v>18589090</v>
      </c>
      <c r="C50" s="188" t="s">
        <v>249</v>
      </c>
      <c r="D50" s="100" t="s">
        <v>122</v>
      </c>
      <c r="E50" s="100" t="s">
        <v>34</v>
      </c>
      <c r="F50" s="100" t="s">
        <v>95</v>
      </c>
      <c r="G50" s="184" t="s">
        <v>250</v>
      </c>
      <c r="H50" s="187">
        <v>2023</v>
      </c>
      <c r="I50" s="199"/>
      <c r="J50" s="200"/>
    </row>
    <row r="51" spans="1:10" ht="75" x14ac:dyDescent="0.2">
      <c r="A51" s="100" t="s">
        <v>251</v>
      </c>
      <c r="B51" s="184">
        <v>18723815</v>
      </c>
      <c r="C51" s="186" t="s">
        <v>252</v>
      </c>
      <c r="D51" s="100" t="s">
        <v>122</v>
      </c>
      <c r="E51" s="100" t="s">
        <v>34</v>
      </c>
      <c r="F51" s="100" t="s">
        <v>35</v>
      </c>
      <c r="G51" s="184" t="s">
        <v>253</v>
      </c>
      <c r="H51" s="187">
        <v>2023</v>
      </c>
      <c r="I51" s="199"/>
      <c r="J51" s="200"/>
    </row>
    <row r="52" spans="1:10" ht="105" x14ac:dyDescent="0.2">
      <c r="A52" s="100" t="s">
        <v>254</v>
      </c>
      <c r="B52" s="184">
        <v>18723828</v>
      </c>
      <c r="C52" s="186" t="s">
        <v>255</v>
      </c>
      <c r="D52" s="100" t="s">
        <v>122</v>
      </c>
      <c r="E52" s="100" t="s">
        <v>34</v>
      </c>
      <c r="F52" s="100" t="s">
        <v>256</v>
      </c>
      <c r="G52" s="184" t="s">
        <v>257</v>
      </c>
      <c r="H52" s="187">
        <v>2023</v>
      </c>
      <c r="I52" s="199"/>
      <c r="J52" s="200"/>
    </row>
    <row r="53" spans="1:10" ht="90" x14ac:dyDescent="0.2">
      <c r="A53" s="100" t="s">
        <v>258</v>
      </c>
      <c r="B53" s="184">
        <v>18723880</v>
      </c>
      <c r="C53" s="186" t="s">
        <v>259</v>
      </c>
      <c r="D53" s="100" t="s">
        <v>122</v>
      </c>
      <c r="E53" s="100" t="s">
        <v>34</v>
      </c>
      <c r="F53" s="100" t="s">
        <v>102</v>
      </c>
      <c r="G53" s="184" t="s">
        <v>260</v>
      </c>
      <c r="H53" s="187">
        <v>2023</v>
      </c>
      <c r="I53" s="199"/>
      <c r="J53" s="200"/>
    </row>
    <row r="54" spans="1:10" ht="90" x14ac:dyDescent="0.2">
      <c r="A54" s="100" t="s">
        <v>261</v>
      </c>
      <c r="B54" s="184">
        <v>18724491</v>
      </c>
      <c r="C54" s="186" t="s">
        <v>262</v>
      </c>
      <c r="D54" s="100" t="s">
        <v>122</v>
      </c>
      <c r="E54" s="100" t="s">
        <v>34</v>
      </c>
      <c r="F54" s="100" t="s">
        <v>263</v>
      </c>
      <c r="G54" s="184" t="s">
        <v>264</v>
      </c>
      <c r="H54" s="187">
        <v>2023</v>
      </c>
      <c r="I54" s="199"/>
      <c r="J54" s="200"/>
    </row>
    <row r="55" spans="1:10" ht="90" x14ac:dyDescent="0.2">
      <c r="A55" s="100" t="s">
        <v>265</v>
      </c>
      <c r="B55" s="184">
        <v>18726588</v>
      </c>
      <c r="C55" s="186" t="s">
        <v>266</v>
      </c>
      <c r="D55" s="100" t="s">
        <v>122</v>
      </c>
      <c r="E55" s="100" t="s">
        <v>34</v>
      </c>
      <c r="F55" s="100" t="s">
        <v>95</v>
      </c>
      <c r="G55" s="184" t="s">
        <v>267</v>
      </c>
      <c r="H55" s="187">
        <v>2023</v>
      </c>
      <c r="I55" s="199"/>
      <c r="J55" s="200"/>
    </row>
    <row r="56" spans="1:10" ht="75" x14ac:dyDescent="0.2">
      <c r="A56" s="100" t="s">
        <v>268</v>
      </c>
      <c r="B56" s="184">
        <v>18723930</v>
      </c>
      <c r="C56" s="186" t="s">
        <v>269</v>
      </c>
      <c r="D56" s="100" t="s">
        <v>122</v>
      </c>
      <c r="E56" s="100" t="s">
        <v>34</v>
      </c>
      <c r="F56" s="100" t="s">
        <v>188</v>
      </c>
      <c r="G56" s="184" t="s">
        <v>270</v>
      </c>
      <c r="H56" s="187">
        <v>2023</v>
      </c>
      <c r="I56" s="199"/>
      <c r="J56" s="200"/>
    </row>
    <row r="57" spans="1:10" ht="15" x14ac:dyDescent="0.2">
      <c r="A57" s="100" t="s">
        <v>127</v>
      </c>
      <c r="B57" s="184" t="s">
        <v>115</v>
      </c>
      <c r="C57" s="186" t="s">
        <v>128</v>
      </c>
      <c r="D57" s="100" t="s">
        <v>129</v>
      </c>
      <c r="E57" s="100" t="s">
        <v>34</v>
      </c>
      <c r="F57" s="100" t="s">
        <v>118</v>
      </c>
      <c r="G57" s="184" t="s">
        <v>130</v>
      </c>
      <c r="H57" s="187">
        <v>2023</v>
      </c>
      <c r="I57" s="199"/>
      <c r="J57" s="200"/>
    </row>
    <row r="58" spans="1:10" ht="60" x14ac:dyDescent="0.2">
      <c r="A58" s="100" t="s">
        <v>271</v>
      </c>
      <c r="B58" s="184">
        <v>18567402</v>
      </c>
      <c r="C58" s="186" t="s">
        <v>272</v>
      </c>
      <c r="D58" s="100" t="s">
        <v>129</v>
      </c>
      <c r="E58" s="100" t="s">
        <v>34</v>
      </c>
      <c r="F58" s="100" t="s">
        <v>35</v>
      </c>
      <c r="G58" s="184" t="s">
        <v>273</v>
      </c>
      <c r="H58" s="187">
        <v>2023</v>
      </c>
      <c r="I58" s="199"/>
      <c r="J58" s="200"/>
    </row>
    <row r="59" spans="1:10" ht="120" x14ac:dyDescent="0.2">
      <c r="A59" s="100" t="s">
        <v>274</v>
      </c>
      <c r="B59" s="184">
        <v>18567570</v>
      </c>
      <c r="C59" s="186" t="s">
        <v>275</v>
      </c>
      <c r="D59" s="100" t="s">
        <v>129</v>
      </c>
      <c r="E59" s="100" t="s">
        <v>34</v>
      </c>
      <c r="F59" s="100" t="s">
        <v>256</v>
      </c>
      <c r="G59" s="184" t="s">
        <v>276</v>
      </c>
      <c r="H59" s="187">
        <v>2023</v>
      </c>
      <c r="I59" s="199"/>
      <c r="J59" s="200"/>
    </row>
    <row r="60" spans="1:10" ht="90" x14ac:dyDescent="0.2">
      <c r="A60" s="100" t="s">
        <v>277</v>
      </c>
      <c r="B60" s="184">
        <v>18567571</v>
      </c>
      <c r="C60" s="186" t="s">
        <v>278</v>
      </c>
      <c r="D60" s="100" t="s">
        <v>129</v>
      </c>
      <c r="E60" s="100" t="s">
        <v>34</v>
      </c>
      <c r="F60" s="100" t="s">
        <v>154</v>
      </c>
      <c r="G60" s="184" t="s">
        <v>279</v>
      </c>
      <c r="H60" s="187">
        <v>2023</v>
      </c>
      <c r="I60" s="199"/>
      <c r="J60" s="200"/>
    </row>
    <row r="61" spans="1:10" ht="105" x14ac:dyDescent="0.2">
      <c r="A61" s="100" t="s">
        <v>280</v>
      </c>
      <c r="B61" s="189" t="s">
        <v>281</v>
      </c>
      <c r="C61" s="188" t="s">
        <v>282</v>
      </c>
      <c r="D61" s="100" t="s">
        <v>129</v>
      </c>
      <c r="E61" s="100" t="s">
        <v>34</v>
      </c>
      <c r="F61" s="100" t="s">
        <v>283</v>
      </c>
      <c r="G61" s="184" t="s">
        <v>284</v>
      </c>
      <c r="H61" s="187">
        <v>2023</v>
      </c>
      <c r="I61" s="199"/>
      <c r="J61" s="200"/>
    </row>
    <row r="62" spans="1:10" ht="90" x14ac:dyDescent="0.2">
      <c r="A62" s="100" t="s">
        <v>285</v>
      </c>
      <c r="B62" s="184">
        <v>18559883</v>
      </c>
      <c r="C62" s="186" t="s">
        <v>286</v>
      </c>
      <c r="D62" s="100" t="s">
        <v>129</v>
      </c>
      <c r="E62" s="100" t="s">
        <v>34</v>
      </c>
      <c r="F62" s="100" t="s">
        <v>35</v>
      </c>
      <c r="G62" s="184" t="s">
        <v>287</v>
      </c>
      <c r="H62" s="187">
        <v>2023</v>
      </c>
      <c r="I62" s="199"/>
      <c r="J62" s="200"/>
    </row>
    <row r="63" spans="1:10" ht="75" x14ac:dyDescent="0.2">
      <c r="A63" s="100" t="s">
        <v>288</v>
      </c>
      <c r="B63" s="184">
        <v>18559926</v>
      </c>
      <c r="C63" s="186" t="s">
        <v>289</v>
      </c>
      <c r="D63" s="100" t="s">
        <v>129</v>
      </c>
      <c r="E63" s="100" t="s">
        <v>34</v>
      </c>
      <c r="F63" s="100" t="s">
        <v>35</v>
      </c>
      <c r="G63" s="184" t="s">
        <v>290</v>
      </c>
      <c r="H63" s="187">
        <v>2023</v>
      </c>
      <c r="I63" s="199"/>
      <c r="J63" s="200"/>
    </row>
    <row r="64" spans="1:10" ht="75" x14ac:dyDescent="0.2">
      <c r="A64" s="100" t="s">
        <v>291</v>
      </c>
      <c r="B64" s="184">
        <v>18560006</v>
      </c>
      <c r="C64" s="186" t="s">
        <v>292</v>
      </c>
      <c r="D64" s="100" t="s">
        <v>129</v>
      </c>
      <c r="E64" s="100" t="s">
        <v>34</v>
      </c>
      <c r="F64" s="100" t="s">
        <v>35</v>
      </c>
      <c r="G64" s="184" t="s">
        <v>293</v>
      </c>
      <c r="H64" s="187">
        <v>2023</v>
      </c>
      <c r="I64" s="199"/>
      <c r="J64" s="200"/>
    </row>
    <row r="65" spans="1:10" ht="75" x14ac:dyDescent="0.2">
      <c r="A65" s="100" t="s">
        <v>294</v>
      </c>
      <c r="B65" s="184">
        <v>18560018</v>
      </c>
      <c r="C65" s="186" t="s">
        <v>295</v>
      </c>
      <c r="D65" s="100" t="s">
        <v>129</v>
      </c>
      <c r="E65" s="100" t="s">
        <v>34</v>
      </c>
      <c r="F65" s="100" t="s">
        <v>35</v>
      </c>
      <c r="G65" s="184" t="s">
        <v>296</v>
      </c>
      <c r="H65" s="187">
        <v>2023</v>
      </c>
      <c r="I65" s="199"/>
      <c r="J65" s="200"/>
    </row>
    <row r="66" spans="1:10" ht="96" customHeight="1" x14ac:dyDescent="0.2">
      <c r="A66" s="100" t="s">
        <v>297</v>
      </c>
      <c r="B66" s="184">
        <v>18560022</v>
      </c>
      <c r="C66" s="186" t="s">
        <v>298</v>
      </c>
      <c r="D66" s="100" t="s">
        <v>129</v>
      </c>
      <c r="E66" s="100" t="s">
        <v>34</v>
      </c>
      <c r="F66" s="100" t="s">
        <v>35</v>
      </c>
      <c r="G66" s="184" t="s">
        <v>299</v>
      </c>
      <c r="H66" s="187">
        <v>2023</v>
      </c>
      <c r="I66" s="199"/>
      <c r="J66" s="200"/>
    </row>
    <row r="67" spans="1:10" ht="75" x14ac:dyDescent="0.2">
      <c r="A67" s="100" t="s">
        <v>300</v>
      </c>
      <c r="B67" s="184">
        <v>18179933</v>
      </c>
      <c r="C67" s="186" t="s">
        <v>301</v>
      </c>
      <c r="D67" s="100" t="s">
        <v>129</v>
      </c>
      <c r="E67" s="100" t="s">
        <v>34</v>
      </c>
      <c r="F67" s="100" t="s">
        <v>35</v>
      </c>
      <c r="G67" s="184" t="s">
        <v>302</v>
      </c>
      <c r="H67" s="187">
        <v>2023</v>
      </c>
      <c r="I67" s="199"/>
      <c r="J67" s="200"/>
    </row>
    <row r="68" spans="1:10" ht="90" x14ac:dyDescent="0.2">
      <c r="A68" s="100" t="s">
        <v>303</v>
      </c>
      <c r="B68" s="184">
        <v>18567419</v>
      </c>
      <c r="C68" s="186" t="s">
        <v>304</v>
      </c>
      <c r="D68" s="100" t="s">
        <v>129</v>
      </c>
      <c r="E68" s="100" t="s">
        <v>34</v>
      </c>
      <c r="F68" s="100" t="s">
        <v>95</v>
      </c>
      <c r="G68" s="184" t="s">
        <v>305</v>
      </c>
      <c r="H68" s="187">
        <v>2023</v>
      </c>
      <c r="I68" s="199"/>
      <c r="J68" s="200"/>
    </row>
    <row r="69" spans="1:10" ht="120" x14ac:dyDescent="0.2">
      <c r="A69" s="100" t="s">
        <v>306</v>
      </c>
      <c r="B69" s="184">
        <v>18179947</v>
      </c>
      <c r="C69" s="186" t="s">
        <v>307</v>
      </c>
      <c r="D69" s="100" t="s">
        <v>129</v>
      </c>
      <c r="E69" s="100" t="s">
        <v>34</v>
      </c>
      <c r="F69" s="100" t="s">
        <v>95</v>
      </c>
      <c r="G69" s="184" t="s">
        <v>308</v>
      </c>
      <c r="H69" s="187">
        <v>2023</v>
      </c>
      <c r="I69" s="199"/>
      <c r="J69" s="200"/>
    </row>
    <row r="70" spans="1:10" ht="75" x14ac:dyDescent="0.2">
      <c r="A70" s="100" t="s">
        <v>309</v>
      </c>
      <c r="B70" s="184">
        <v>18567501</v>
      </c>
      <c r="C70" s="186" t="s">
        <v>310</v>
      </c>
      <c r="D70" s="100" t="s">
        <v>129</v>
      </c>
      <c r="E70" s="100" t="s">
        <v>34</v>
      </c>
      <c r="F70" s="100" t="s">
        <v>95</v>
      </c>
      <c r="G70" s="184" t="s">
        <v>311</v>
      </c>
      <c r="H70" s="187">
        <v>2023</v>
      </c>
      <c r="I70" s="199"/>
      <c r="J70" s="200"/>
    </row>
    <row r="71" spans="1:10" ht="135" x14ac:dyDescent="0.2">
      <c r="A71" s="100" t="s">
        <v>312</v>
      </c>
      <c r="B71" s="184">
        <v>18567582</v>
      </c>
      <c r="C71" s="186" t="s">
        <v>313</v>
      </c>
      <c r="D71" s="100" t="s">
        <v>129</v>
      </c>
      <c r="E71" s="100" t="s">
        <v>34</v>
      </c>
      <c r="F71" s="100" t="s">
        <v>35</v>
      </c>
      <c r="G71" s="184" t="s">
        <v>314</v>
      </c>
      <c r="H71" s="187">
        <v>2023</v>
      </c>
      <c r="I71" s="199"/>
      <c r="J71" s="200"/>
    </row>
    <row r="72" spans="1:10" ht="90" x14ac:dyDescent="0.2">
      <c r="A72" s="100" t="s">
        <v>315</v>
      </c>
      <c r="B72" s="184">
        <v>18567586</v>
      </c>
      <c r="C72" s="186" t="s">
        <v>316</v>
      </c>
      <c r="D72" s="100" t="s">
        <v>129</v>
      </c>
      <c r="E72" s="100" t="s">
        <v>34</v>
      </c>
      <c r="F72" s="100" t="s">
        <v>199</v>
      </c>
      <c r="G72" s="184" t="s">
        <v>317</v>
      </c>
      <c r="H72" s="187">
        <v>2023</v>
      </c>
      <c r="I72" s="199"/>
      <c r="J72" s="200"/>
    </row>
    <row r="73" spans="1:10" ht="90" x14ac:dyDescent="0.2">
      <c r="A73" s="100" t="s">
        <v>318</v>
      </c>
      <c r="B73" s="184">
        <v>18567590</v>
      </c>
      <c r="C73" s="186" t="s">
        <v>319</v>
      </c>
      <c r="D73" s="100" t="s">
        <v>129</v>
      </c>
      <c r="E73" s="100" t="s">
        <v>34</v>
      </c>
      <c r="F73" s="100" t="s">
        <v>95</v>
      </c>
      <c r="G73" s="184" t="s">
        <v>320</v>
      </c>
      <c r="H73" s="187">
        <v>2023</v>
      </c>
      <c r="I73" s="199"/>
      <c r="J73" s="200"/>
    </row>
    <row r="74" spans="1:10" ht="120" x14ac:dyDescent="0.2">
      <c r="A74" s="100" t="s">
        <v>321</v>
      </c>
      <c r="B74" s="184">
        <v>18589004</v>
      </c>
      <c r="C74" s="188" t="s">
        <v>322</v>
      </c>
      <c r="D74" s="100" t="s">
        <v>129</v>
      </c>
      <c r="E74" s="100" t="s">
        <v>34</v>
      </c>
      <c r="F74" s="100" t="s">
        <v>35</v>
      </c>
      <c r="G74" s="184" t="s">
        <v>323</v>
      </c>
      <c r="H74" s="187">
        <v>2023</v>
      </c>
      <c r="I74" s="199"/>
      <c r="J74" s="200"/>
    </row>
    <row r="75" spans="1:10" ht="150" x14ac:dyDescent="0.2">
      <c r="A75" s="100" t="s">
        <v>324</v>
      </c>
      <c r="B75" s="184">
        <v>18723720</v>
      </c>
      <c r="C75" s="186" t="s">
        <v>325</v>
      </c>
      <c r="D75" s="100" t="s">
        <v>129</v>
      </c>
      <c r="E75" s="100" t="s">
        <v>34</v>
      </c>
      <c r="F75" s="100" t="s">
        <v>35</v>
      </c>
      <c r="G75" s="184" t="s">
        <v>326</v>
      </c>
      <c r="H75" s="187">
        <v>2023</v>
      </c>
      <c r="I75" s="199"/>
      <c r="J75" s="200"/>
    </row>
    <row r="76" spans="1:10" ht="135" x14ac:dyDescent="0.2">
      <c r="A76" s="100" t="s">
        <v>327</v>
      </c>
      <c r="B76" s="184">
        <v>18559873</v>
      </c>
      <c r="C76" s="186" t="s">
        <v>328</v>
      </c>
      <c r="D76" s="100" t="s">
        <v>129</v>
      </c>
      <c r="E76" s="100" t="s">
        <v>34</v>
      </c>
      <c r="F76" s="100" t="s">
        <v>35</v>
      </c>
      <c r="G76" s="184" t="s">
        <v>329</v>
      </c>
      <c r="H76" s="187">
        <v>2023</v>
      </c>
      <c r="I76" s="199"/>
      <c r="J76" s="200"/>
    </row>
    <row r="77" spans="1:10" ht="120" x14ac:dyDescent="0.2">
      <c r="A77" s="100" t="s">
        <v>330</v>
      </c>
      <c r="B77" s="184">
        <v>18175839</v>
      </c>
      <c r="C77" s="186" t="s">
        <v>331</v>
      </c>
      <c r="D77" s="100" t="s">
        <v>129</v>
      </c>
      <c r="E77" s="100" t="s">
        <v>34</v>
      </c>
      <c r="F77" s="100" t="s">
        <v>35</v>
      </c>
      <c r="G77" s="184" t="s">
        <v>332</v>
      </c>
      <c r="H77" s="187">
        <v>2023</v>
      </c>
      <c r="I77" s="199"/>
      <c r="J77" s="200"/>
    </row>
    <row r="78" spans="1:10" ht="15" x14ac:dyDescent="0.2">
      <c r="A78" s="100" t="s">
        <v>115</v>
      </c>
      <c r="B78" s="184" t="s">
        <v>31</v>
      </c>
      <c r="C78" s="186" t="s">
        <v>162</v>
      </c>
      <c r="D78" s="100" t="s">
        <v>81</v>
      </c>
      <c r="E78" s="100" t="s">
        <v>34</v>
      </c>
      <c r="F78" s="100" t="s">
        <v>118</v>
      </c>
      <c r="G78" s="184" t="s">
        <v>163</v>
      </c>
      <c r="H78" s="187">
        <v>2023</v>
      </c>
      <c r="I78" s="199"/>
      <c r="J78" s="200"/>
    </row>
    <row r="79" spans="1:10" ht="30" x14ac:dyDescent="0.2">
      <c r="A79" s="100" t="s">
        <v>333</v>
      </c>
      <c r="B79" s="184">
        <v>18797027</v>
      </c>
      <c r="C79" s="186" t="s">
        <v>334</v>
      </c>
      <c r="D79" s="100" t="s">
        <v>166</v>
      </c>
      <c r="E79" s="100" t="s">
        <v>34</v>
      </c>
      <c r="F79" s="100" t="s">
        <v>335</v>
      </c>
      <c r="G79" s="184" t="s">
        <v>336</v>
      </c>
      <c r="H79" s="187">
        <v>2023</v>
      </c>
      <c r="I79" s="199"/>
      <c r="J79" s="200"/>
    </row>
    <row r="80" spans="1:10" ht="60" x14ac:dyDescent="0.2">
      <c r="A80" s="100" t="s">
        <v>337</v>
      </c>
      <c r="B80" s="184">
        <v>18723725</v>
      </c>
      <c r="C80" s="186" t="s">
        <v>338</v>
      </c>
      <c r="D80" s="100" t="s">
        <v>99</v>
      </c>
      <c r="E80" s="100" t="s">
        <v>34</v>
      </c>
      <c r="F80" s="100" t="s">
        <v>102</v>
      </c>
      <c r="G80" s="184" t="s">
        <v>339</v>
      </c>
      <c r="H80" s="187">
        <v>2023</v>
      </c>
      <c r="I80" s="199"/>
      <c r="J80" s="200"/>
    </row>
    <row r="81" spans="1:10" ht="60" x14ac:dyDescent="0.2">
      <c r="A81" s="100" t="s">
        <v>340</v>
      </c>
      <c r="B81" s="184">
        <v>18723724</v>
      </c>
      <c r="C81" s="186" t="s">
        <v>341</v>
      </c>
      <c r="D81" s="100" t="s">
        <v>99</v>
      </c>
      <c r="E81" s="100" t="s">
        <v>34</v>
      </c>
      <c r="F81" s="100" t="s">
        <v>263</v>
      </c>
      <c r="G81" s="184" t="s">
        <v>342</v>
      </c>
      <c r="H81" s="187">
        <v>2023</v>
      </c>
      <c r="I81" s="199"/>
      <c r="J81" s="200"/>
    </row>
    <row r="82" spans="1:10" ht="30" x14ac:dyDescent="0.2">
      <c r="A82" s="100" t="s">
        <v>343</v>
      </c>
      <c r="B82" s="184">
        <v>18772478</v>
      </c>
      <c r="C82" s="186" t="s">
        <v>344</v>
      </c>
      <c r="D82" s="100" t="s">
        <v>99</v>
      </c>
      <c r="E82" s="100" t="s">
        <v>34</v>
      </c>
      <c r="F82" s="100" t="s">
        <v>71</v>
      </c>
      <c r="G82" s="184" t="s">
        <v>345</v>
      </c>
      <c r="H82" s="187">
        <v>2023</v>
      </c>
      <c r="I82" s="199"/>
      <c r="J82" s="200"/>
    </row>
    <row r="83" spans="1:10" ht="30" x14ac:dyDescent="0.2">
      <c r="A83" s="100" t="s">
        <v>346</v>
      </c>
      <c r="B83" s="184">
        <v>18772568</v>
      </c>
      <c r="C83" s="186" t="s">
        <v>347</v>
      </c>
      <c r="D83" s="100" t="s">
        <v>99</v>
      </c>
      <c r="E83" s="100" t="s">
        <v>34</v>
      </c>
      <c r="F83" s="100" t="s">
        <v>348</v>
      </c>
      <c r="G83" s="184" t="s">
        <v>349</v>
      </c>
      <c r="H83" s="187">
        <v>2023</v>
      </c>
      <c r="I83" s="199"/>
      <c r="J83" s="200"/>
    </row>
    <row r="84" spans="1:10" ht="30" x14ac:dyDescent="0.2">
      <c r="A84" s="100" t="s">
        <v>350</v>
      </c>
      <c r="B84" s="184">
        <v>18772648</v>
      </c>
      <c r="C84" s="186" t="s">
        <v>351</v>
      </c>
      <c r="D84" s="100" t="s">
        <v>99</v>
      </c>
      <c r="E84" s="100" t="s">
        <v>34</v>
      </c>
      <c r="F84" s="100" t="s">
        <v>71</v>
      </c>
      <c r="G84" s="184" t="s">
        <v>352</v>
      </c>
      <c r="H84" s="187">
        <v>2023</v>
      </c>
      <c r="I84" s="199"/>
      <c r="J84" s="200"/>
    </row>
    <row r="85" spans="1:10" ht="30" x14ac:dyDescent="0.2">
      <c r="A85" s="100" t="s">
        <v>353</v>
      </c>
      <c r="B85" s="184">
        <v>18796363</v>
      </c>
      <c r="C85" s="186" t="s">
        <v>354</v>
      </c>
      <c r="D85" s="100" t="s">
        <v>99</v>
      </c>
      <c r="E85" s="100" t="s">
        <v>34</v>
      </c>
      <c r="F85" s="100" t="s">
        <v>263</v>
      </c>
      <c r="G85" s="184" t="s">
        <v>355</v>
      </c>
      <c r="H85" s="187">
        <v>2023</v>
      </c>
      <c r="I85" s="199"/>
      <c r="J85" s="200"/>
    </row>
    <row r="86" spans="1:10" ht="30" x14ac:dyDescent="0.2">
      <c r="A86" s="100" t="s">
        <v>356</v>
      </c>
      <c r="B86" s="184">
        <v>18352342</v>
      </c>
      <c r="C86" s="186" t="s">
        <v>357</v>
      </c>
      <c r="D86" s="100" t="s">
        <v>99</v>
      </c>
      <c r="E86" s="100" t="s">
        <v>34</v>
      </c>
      <c r="F86" s="100" t="s">
        <v>348</v>
      </c>
      <c r="G86" s="184" t="s">
        <v>358</v>
      </c>
      <c r="H86" s="187">
        <v>2023</v>
      </c>
      <c r="I86" s="199"/>
      <c r="J86" s="200"/>
    </row>
    <row r="87" spans="1:10" ht="30" x14ac:dyDescent="0.2">
      <c r="A87" s="100" t="s">
        <v>359</v>
      </c>
      <c r="B87" s="184">
        <v>18352330</v>
      </c>
      <c r="C87" s="186" t="s">
        <v>360</v>
      </c>
      <c r="D87" s="100" t="s">
        <v>99</v>
      </c>
      <c r="E87" s="100" t="s">
        <v>34</v>
      </c>
      <c r="F87" s="100" t="s">
        <v>256</v>
      </c>
      <c r="G87" s="184" t="s">
        <v>361</v>
      </c>
      <c r="H87" s="187">
        <v>2023</v>
      </c>
      <c r="I87" s="199"/>
      <c r="J87" s="200"/>
    </row>
    <row r="88" spans="1:10" ht="30" x14ac:dyDescent="0.2">
      <c r="A88" s="100" t="s">
        <v>362</v>
      </c>
      <c r="B88" s="184">
        <v>18352305</v>
      </c>
      <c r="C88" s="186" t="s">
        <v>363</v>
      </c>
      <c r="D88" s="100" t="s">
        <v>99</v>
      </c>
      <c r="E88" s="100" t="s">
        <v>34</v>
      </c>
      <c r="F88" s="100" t="s">
        <v>256</v>
      </c>
      <c r="G88" s="184" t="s">
        <v>364</v>
      </c>
      <c r="H88" s="187">
        <v>2023</v>
      </c>
      <c r="I88" s="199"/>
      <c r="J88" s="200"/>
    </row>
    <row r="89" spans="1:10" ht="30" x14ac:dyDescent="0.2">
      <c r="A89" s="100" t="s">
        <v>365</v>
      </c>
      <c r="B89" s="184">
        <v>18352301</v>
      </c>
      <c r="C89" s="186" t="s">
        <v>366</v>
      </c>
      <c r="D89" s="100" t="s">
        <v>99</v>
      </c>
      <c r="E89" s="100" t="s">
        <v>34</v>
      </c>
      <c r="F89" s="100" t="s">
        <v>95</v>
      </c>
      <c r="G89" s="184" t="s">
        <v>367</v>
      </c>
      <c r="H89" s="187">
        <v>2023</v>
      </c>
      <c r="I89" s="199"/>
      <c r="J89" s="200"/>
    </row>
    <row r="90" spans="1:10" ht="30" x14ac:dyDescent="0.2">
      <c r="A90" s="100" t="s">
        <v>368</v>
      </c>
      <c r="B90" s="184">
        <v>18352299</v>
      </c>
      <c r="C90" s="186" t="s">
        <v>369</v>
      </c>
      <c r="D90" s="100" t="s">
        <v>99</v>
      </c>
      <c r="E90" s="100" t="s">
        <v>34</v>
      </c>
      <c r="F90" s="100" t="s">
        <v>95</v>
      </c>
      <c r="G90" s="184" t="s">
        <v>370</v>
      </c>
      <c r="H90" s="187">
        <v>2023</v>
      </c>
      <c r="I90" s="199"/>
      <c r="J90" s="200"/>
    </row>
    <row r="91" spans="1:10" ht="30" x14ac:dyDescent="0.2">
      <c r="A91" s="100" t="s">
        <v>371</v>
      </c>
      <c r="B91" s="184">
        <v>18352263</v>
      </c>
      <c r="C91" s="186" t="s">
        <v>372</v>
      </c>
      <c r="D91" s="100" t="s">
        <v>99</v>
      </c>
      <c r="E91" s="100" t="s">
        <v>34</v>
      </c>
      <c r="F91" s="100" t="s">
        <v>199</v>
      </c>
      <c r="G91" s="184" t="s">
        <v>373</v>
      </c>
      <c r="H91" s="187">
        <v>2023</v>
      </c>
      <c r="I91" s="199"/>
      <c r="J91" s="200"/>
    </row>
    <row r="92" spans="1:10" ht="30" x14ac:dyDescent="0.2">
      <c r="A92" s="100" t="s">
        <v>374</v>
      </c>
      <c r="B92" s="184">
        <v>18352256</v>
      </c>
      <c r="C92" s="186" t="s">
        <v>375</v>
      </c>
      <c r="D92" s="100" t="s">
        <v>99</v>
      </c>
      <c r="E92" s="100" t="s">
        <v>34</v>
      </c>
      <c r="F92" s="100" t="s">
        <v>95</v>
      </c>
      <c r="G92" s="184" t="s">
        <v>376</v>
      </c>
      <c r="H92" s="187">
        <v>2023</v>
      </c>
      <c r="I92" s="199"/>
      <c r="J92" s="200"/>
    </row>
    <row r="93" spans="1:10" ht="30" x14ac:dyDescent="0.2">
      <c r="A93" s="100" t="s">
        <v>377</v>
      </c>
      <c r="B93" s="184">
        <v>18352216</v>
      </c>
      <c r="C93" s="186" t="s">
        <v>378</v>
      </c>
      <c r="D93" s="100" t="s">
        <v>99</v>
      </c>
      <c r="E93" s="100" t="s">
        <v>34</v>
      </c>
      <c r="F93" s="100" t="s">
        <v>35</v>
      </c>
      <c r="G93" s="184" t="s">
        <v>379</v>
      </c>
      <c r="H93" s="187">
        <v>2023</v>
      </c>
      <c r="I93" s="199"/>
      <c r="J93" s="200"/>
    </row>
    <row r="94" spans="1:10" ht="30" x14ac:dyDescent="0.2">
      <c r="A94" s="100" t="s">
        <v>380</v>
      </c>
      <c r="B94" s="184">
        <v>18352209</v>
      </c>
      <c r="C94" s="186" t="s">
        <v>381</v>
      </c>
      <c r="D94" s="100" t="s">
        <v>99</v>
      </c>
      <c r="E94" s="100" t="s">
        <v>34</v>
      </c>
      <c r="F94" s="100" t="s">
        <v>35</v>
      </c>
      <c r="G94" s="184" t="s">
        <v>382</v>
      </c>
      <c r="H94" s="187">
        <v>2023</v>
      </c>
      <c r="I94" s="199"/>
      <c r="J94" s="200"/>
    </row>
    <row r="95" spans="1:10" ht="30" x14ac:dyDescent="0.2">
      <c r="A95" s="100" t="s">
        <v>383</v>
      </c>
      <c r="B95" s="184">
        <v>18352224</v>
      </c>
      <c r="C95" s="186" t="s">
        <v>384</v>
      </c>
      <c r="D95" s="100" t="s">
        <v>99</v>
      </c>
      <c r="E95" s="100" t="s">
        <v>34</v>
      </c>
      <c r="F95" s="100" t="s">
        <v>385</v>
      </c>
      <c r="G95" s="184" t="s">
        <v>386</v>
      </c>
      <c r="H95" s="187">
        <v>2023</v>
      </c>
      <c r="I95" s="199"/>
      <c r="J95" s="200"/>
    </row>
    <row r="96" spans="1:10" ht="30" x14ac:dyDescent="0.2">
      <c r="A96" s="100" t="s">
        <v>387</v>
      </c>
      <c r="B96" s="184">
        <v>18352219</v>
      </c>
      <c r="C96" s="186" t="s">
        <v>388</v>
      </c>
      <c r="D96" s="100" t="s">
        <v>99</v>
      </c>
      <c r="E96" s="100" t="s">
        <v>34</v>
      </c>
      <c r="F96" s="100" t="s">
        <v>385</v>
      </c>
      <c r="G96" s="184" t="s">
        <v>389</v>
      </c>
      <c r="H96" s="187">
        <v>2023</v>
      </c>
      <c r="I96" s="199"/>
      <c r="J96" s="200"/>
    </row>
    <row r="97" spans="1:10" ht="15" x14ac:dyDescent="0.2">
      <c r="A97" s="100" t="s">
        <v>115</v>
      </c>
      <c r="B97" s="184" t="s">
        <v>31</v>
      </c>
      <c r="C97" s="186" t="s">
        <v>116</v>
      </c>
      <c r="D97" s="100" t="s">
        <v>117</v>
      </c>
      <c r="E97" s="100" t="s">
        <v>34</v>
      </c>
      <c r="F97" s="100" t="s">
        <v>118</v>
      </c>
      <c r="G97" s="184" t="s">
        <v>119</v>
      </c>
      <c r="H97" s="187">
        <v>2024</v>
      </c>
      <c r="I97" s="199"/>
      <c r="J97" s="200"/>
    </row>
    <row r="98" spans="1:10" ht="90" x14ac:dyDescent="0.2">
      <c r="A98" s="100" t="s">
        <v>390</v>
      </c>
      <c r="B98" s="184" t="s">
        <v>31</v>
      </c>
      <c r="C98" s="186" t="s">
        <v>32</v>
      </c>
      <c r="D98" s="100" t="s">
        <v>122</v>
      </c>
      <c r="E98" s="100" t="s">
        <v>34</v>
      </c>
      <c r="F98" s="100" t="s">
        <v>102</v>
      </c>
      <c r="G98" s="184" t="s">
        <v>391</v>
      </c>
      <c r="H98" s="187">
        <v>2024</v>
      </c>
      <c r="I98" s="199"/>
      <c r="J98" s="200"/>
    </row>
    <row r="99" spans="1:10" ht="75" x14ac:dyDescent="0.2">
      <c r="A99" s="100" t="s">
        <v>392</v>
      </c>
      <c r="B99" s="184" t="s">
        <v>31</v>
      </c>
      <c r="C99" s="186" t="s">
        <v>32</v>
      </c>
      <c r="D99" s="100" t="s">
        <v>122</v>
      </c>
      <c r="E99" s="100" t="s">
        <v>34</v>
      </c>
      <c r="F99" s="100" t="s">
        <v>35</v>
      </c>
      <c r="G99" s="184" t="s">
        <v>393</v>
      </c>
      <c r="H99" s="187">
        <v>2024</v>
      </c>
      <c r="I99" s="199"/>
      <c r="J99" s="200"/>
    </row>
    <row r="100" spans="1:10" ht="15" x14ac:dyDescent="0.2">
      <c r="A100" s="100" t="s">
        <v>127</v>
      </c>
      <c r="B100" s="184" t="s">
        <v>115</v>
      </c>
      <c r="C100" s="186" t="s">
        <v>128</v>
      </c>
      <c r="D100" s="100" t="s">
        <v>129</v>
      </c>
      <c r="E100" s="100" t="s">
        <v>34</v>
      </c>
      <c r="F100" s="100" t="s">
        <v>118</v>
      </c>
      <c r="G100" s="184" t="s">
        <v>130</v>
      </c>
      <c r="H100" s="187">
        <v>2024</v>
      </c>
      <c r="I100" s="199"/>
      <c r="J100" s="200"/>
    </row>
    <row r="101" spans="1:10" ht="210" x14ac:dyDescent="0.2">
      <c r="A101" s="100" t="s">
        <v>394</v>
      </c>
      <c r="B101" s="184" t="s">
        <v>31</v>
      </c>
      <c r="C101" s="186" t="s">
        <v>32</v>
      </c>
      <c r="D101" s="100" t="s">
        <v>129</v>
      </c>
      <c r="E101" s="100" t="s">
        <v>34</v>
      </c>
      <c r="F101" s="100" t="s">
        <v>192</v>
      </c>
      <c r="G101" s="184" t="s">
        <v>395</v>
      </c>
      <c r="H101" s="187">
        <v>2024</v>
      </c>
      <c r="I101" s="199"/>
      <c r="J101" s="200"/>
    </row>
    <row r="102" spans="1:10" ht="135" x14ac:dyDescent="0.2">
      <c r="A102" s="100" t="s">
        <v>396</v>
      </c>
      <c r="B102" s="184" t="s">
        <v>31</v>
      </c>
      <c r="C102" s="186" t="s">
        <v>32</v>
      </c>
      <c r="D102" s="100" t="s">
        <v>129</v>
      </c>
      <c r="E102" s="100" t="s">
        <v>34</v>
      </c>
      <c r="F102" s="100" t="s">
        <v>397</v>
      </c>
      <c r="G102" s="184" t="s">
        <v>398</v>
      </c>
      <c r="H102" s="187">
        <v>2024</v>
      </c>
      <c r="I102" s="199"/>
      <c r="J102" s="200"/>
    </row>
    <row r="103" spans="1:10" ht="240" x14ac:dyDescent="0.2">
      <c r="A103" s="100" t="s">
        <v>399</v>
      </c>
      <c r="B103" s="184" t="s">
        <v>31</v>
      </c>
      <c r="C103" s="186" t="s">
        <v>32</v>
      </c>
      <c r="D103" s="100" t="s">
        <v>129</v>
      </c>
      <c r="E103" s="100" t="s">
        <v>34</v>
      </c>
      <c r="F103" s="100" t="s">
        <v>397</v>
      </c>
      <c r="G103" s="184" t="s">
        <v>400</v>
      </c>
      <c r="H103" s="187">
        <v>2024</v>
      </c>
      <c r="I103" s="199"/>
      <c r="J103" s="200"/>
    </row>
    <row r="104" spans="1:10" ht="150" x14ac:dyDescent="0.2">
      <c r="A104" s="100" t="s">
        <v>401</v>
      </c>
      <c r="B104" s="184" t="s">
        <v>31</v>
      </c>
      <c r="C104" s="186" t="s">
        <v>32</v>
      </c>
      <c r="D104" s="100" t="s">
        <v>129</v>
      </c>
      <c r="E104" s="100" t="s">
        <v>34</v>
      </c>
      <c r="F104" s="100" t="s">
        <v>102</v>
      </c>
      <c r="G104" s="184" t="s">
        <v>402</v>
      </c>
      <c r="H104" s="187">
        <v>2024</v>
      </c>
      <c r="I104" s="199"/>
      <c r="J104" s="200"/>
    </row>
    <row r="105" spans="1:10" ht="135" x14ac:dyDescent="0.2">
      <c r="A105" s="100" t="s">
        <v>403</v>
      </c>
      <c r="B105" s="184" t="s">
        <v>31</v>
      </c>
      <c r="C105" s="186" t="s">
        <v>32</v>
      </c>
      <c r="D105" s="100" t="s">
        <v>129</v>
      </c>
      <c r="E105" s="100" t="s">
        <v>34</v>
      </c>
      <c r="F105" s="100" t="s">
        <v>102</v>
      </c>
      <c r="G105" s="184" t="s">
        <v>404</v>
      </c>
      <c r="H105" s="187">
        <v>2024</v>
      </c>
      <c r="I105" s="199"/>
      <c r="J105" s="200"/>
    </row>
    <row r="106" spans="1:10" ht="285" x14ac:dyDescent="0.2">
      <c r="A106" s="100" t="s">
        <v>405</v>
      </c>
      <c r="B106" s="184" t="s">
        <v>31</v>
      </c>
      <c r="C106" s="186" t="s">
        <v>32</v>
      </c>
      <c r="D106" s="100" t="s">
        <v>129</v>
      </c>
      <c r="E106" s="100" t="s">
        <v>34</v>
      </c>
      <c r="F106" s="100" t="s">
        <v>102</v>
      </c>
      <c r="G106" s="184" t="s">
        <v>406</v>
      </c>
      <c r="H106" s="187">
        <v>2024</v>
      </c>
      <c r="I106" s="199"/>
      <c r="J106" s="200"/>
    </row>
    <row r="107" spans="1:10" ht="135" x14ac:dyDescent="0.2">
      <c r="A107" s="100" t="s">
        <v>407</v>
      </c>
      <c r="B107" s="184" t="s">
        <v>31</v>
      </c>
      <c r="C107" s="186" t="s">
        <v>32</v>
      </c>
      <c r="D107" s="100" t="s">
        <v>129</v>
      </c>
      <c r="E107" s="100" t="s">
        <v>34</v>
      </c>
      <c r="F107" s="100" t="s">
        <v>192</v>
      </c>
      <c r="G107" s="184" t="s">
        <v>408</v>
      </c>
      <c r="H107" s="187">
        <v>2024</v>
      </c>
      <c r="I107" s="199"/>
      <c r="J107" s="200"/>
    </row>
    <row r="108" spans="1:10" ht="210" x14ac:dyDescent="0.2">
      <c r="A108" s="100" t="s">
        <v>409</v>
      </c>
      <c r="B108" s="184" t="s">
        <v>31</v>
      </c>
      <c r="C108" s="186" t="s">
        <v>32</v>
      </c>
      <c r="D108" s="100" t="s">
        <v>129</v>
      </c>
      <c r="E108" s="100" t="s">
        <v>34</v>
      </c>
      <c r="F108" s="100" t="s">
        <v>397</v>
      </c>
      <c r="G108" s="184" t="s">
        <v>410</v>
      </c>
      <c r="H108" s="187">
        <v>2024</v>
      </c>
      <c r="I108" s="199"/>
      <c r="J108" s="200"/>
    </row>
    <row r="109" spans="1:10" ht="180" x14ac:dyDescent="0.2">
      <c r="A109" s="100" t="s">
        <v>411</v>
      </c>
      <c r="B109" s="184" t="s">
        <v>31</v>
      </c>
      <c r="C109" s="186" t="s">
        <v>32</v>
      </c>
      <c r="D109" s="100" t="s">
        <v>129</v>
      </c>
      <c r="E109" s="100" t="s">
        <v>34</v>
      </c>
      <c r="F109" s="100" t="s">
        <v>102</v>
      </c>
      <c r="G109" s="184" t="s">
        <v>412</v>
      </c>
      <c r="H109" s="187">
        <v>2024</v>
      </c>
      <c r="I109" s="199"/>
      <c r="J109" s="200"/>
    </row>
    <row r="110" spans="1:10" ht="150" x14ac:dyDescent="0.2">
      <c r="A110" s="100" t="s">
        <v>413</v>
      </c>
      <c r="B110" s="184" t="s">
        <v>31</v>
      </c>
      <c r="C110" s="186" t="s">
        <v>32</v>
      </c>
      <c r="D110" s="100" t="s">
        <v>129</v>
      </c>
      <c r="E110" s="100" t="s">
        <v>34</v>
      </c>
      <c r="F110" s="100" t="s">
        <v>102</v>
      </c>
      <c r="G110" s="184" t="s">
        <v>414</v>
      </c>
      <c r="H110" s="187">
        <v>2024</v>
      </c>
      <c r="I110" s="199"/>
      <c r="J110" s="200"/>
    </row>
    <row r="111" spans="1:10" ht="75" x14ac:dyDescent="0.2">
      <c r="A111" s="100" t="s">
        <v>415</v>
      </c>
      <c r="B111" s="184" t="s">
        <v>31</v>
      </c>
      <c r="C111" s="186" t="s">
        <v>32</v>
      </c>
      <c r="D111" s="100" t="s">
        <v>129</v>
      </c>
      <c r="E111" s="100" t="s">
        <v>34</v>
      </c>
      <c r="F111" s="100" t="s">
        <v>71</v>
      </c>
      <c r="G111" s="184" t="s">
        <v>416</v>
      </c>
      <c r="H111" s="187">
        <v>2024</v>
      </c>
      <c r="I111" s="199"/>
      <c r="J111" s="200"/>
    </row>
    <row r="112" spans="1:10" ht="60" x14ac:dyDescent="0.2">
      <c r="A112" s="100" t="s">
        <v>417</v>
      </c>
      <c r="B112" s="184" t="s">
        <v>31</v>
      </c>
      <c r="C112" s="186" t="s">
        <v>32</v>
      </c>
      <c r="D112" s="100" t="s">
        <v>129</v>
      </c>
      <c r="E112" s="100" t="s">
        <v>34</v>
      </c>
      <c r="F112" s="100" t="s">
        <v>35</v>
      </c>
      <c r="G112" s="184" t="s">
        <v>418</v>
      </c>
      <c r="H112" s="187">
        <v>2024</v>
      </c>
      <c r="I112" s="199"/>
      <c r="J112" s="200"/>
    </row>
    <row r="113" spans="1:10" ht="120" x14ac:dyDescent="0.2">
      <c r="A113" s="100" t="s">
        <v>419</v>
      </c>
      <c r="B113" s="184" t="s">
        <v>31</v>
      </c>
      <c r="C113" s="186" t="s">
        <v>32</v>
      </c>
      <c r="D113" s="100" t="s">
        <v>129</v>
      </c>
      <c r="E113" s="100" t="s">
        <v>34</v>
      </c>
      <c r="F113" s="100" t="s">
        <v>192</v>
      </c>
      <c r="G113" s="184" t="s">
        <v>420</v>
      </c>
      <c r="H113" s="187">
        <v>2024</v>
      </c>
      <c r="I113" s="199"/>
      <c r="J113" s="200"/>
    </row>
    <row r="114" spans="1:10" ht="15" x14ac:dyDescent="0.2">
      <c r="A114" s="100" t="s">
        <v>115</v>
      </c>
      <c r="B114" s="184" t="s">
        <v>31</v>
      </c>
      <c r="C114" s="186" t="s">
        <v>162</v>
      </c>
      <c r="D114" s="100" t="s">
        <v>81</v>
      </c>
      <c r="E114" s="100" t="s">
        <v>34</v>
      </c>
      <c r="F114" s="100" t="s">
        <v>118</v>
      </c>
      <c r="G114" s="184" t="s">
        <v>163</v>
      </c>
      <c r="H114" s="187">
        <v>2024</v>
      </c>
      <c r="I114" s="199"/>
      <c r="J114" s="200"/>
    </row>
    <row r="115" spans="1:10" ht="15" x14ac:dyDescent="0.2">
      <c r="A115" s="100" t="s">
        <v>421</v>
      </c>
      <c r="B115" s="184" t="s">
        <v>31</v>
      </c>
      <c r="C115" s="186" t="s">
        <v>32</v>
      </c>
      <c r="D115" s="100" t="s">
        <v>99</v>
      </c>
      <c r="E115" s="100" t="s">
        <v>34</v>
      </c>
      <c r="F115" s="100" t="s">
        <v>35</v>
      </c>
      <c r="G115" s="184" t="s">
        <v>422</v>
      </c>
      <c r="H115" s="187">
        <v>2024</v>
      </c>
      <c r="I115" s="199"/>
      <c r="J115" s="200"/>
    </row>
    <row r="116" spans="1:10" ht="15" x14ac:dyDescent="0.2">
      <c r="A116" s="100" t="s">
        <v>115</v>
      </c>
      <c r="B116" s="184" t="s">
        <v>31</v>
      </c>
      <c r="C116" s="186" t="s">
        <v>116</v>
      </c>
      <c r="D116" s="100" t="s">
        <v>117</v>
      </c>
      <c r="E116" s="100" t="s">
        <v>34</v>
      </c>
      <c r="F116" s="100" t="s">
        <v>118</v>
      </c>
      <c r="G116" s="184" t="s">
        <v>119</v>
      </c>
      <c r="H116" s="187">
        <v>2025</v>
      </c>
      <c r="I116" s="199"/>
      <c r="J116" s="200"/>
    </row>
    <row r="117" spans="1:10" ht="15" x14ac:dyDescent="0.2">
      <c r="A117" s="100" t="s">
        <v>127</v>
      </c>
      <c r="B117" s="184" t="s">
        <v>115</v>
      </c>
      <c r="C117" s="186" t="s">
        <v>128</v>
      </c>
      <c r="D117" s="100" t="s">
        <v>129</v>
      </c>
      <c r="E117" s="100" t="s">
        <v>34</v>
      </c>
      <c r="F117" s="100" t="s">
        <v>118</v>
      </c>
      <c r="G117" s="184" t="s">
        <v>130</v>
      </c>
      <c r="H117" s="187">
        <v>2025</v>
      </c>
      <c r="I117" s="199"/>
      <c r="J117" s="200"/>
    </row>
    <row r="118" spans="1:10" ht="240" x14ac:dyDescent="0.2">
      <c r="A118" s="100" t="s">
        <v>423</v>
      </c>
      <c r="B118" s="184" t="s">
        <v>31</v>
      </c>
      <c r="C118" s="186" t="s">
        <v>32</v>
      </c>
      <c r="D118" s="100" t="s">
        <v>129</v>
      </c>
      <c r="E118" s="100" t="s">
        <v>34</v>
      </c>
      <c r="F118" s="100" t="s">
        <v>84</v>
      </c>
      <c r="G118" s="184" t="s">
        <v>424</v>
      </c>
      <c r="H118" s="187">
        <v>2025</v>
      </c>
      <c r="I118" s="199"/>
      <c r="J118" s="200"/>
    </row>
    <row r="119" spans="1:10" ht="210" x14ac:dyDescent="0.2">
      <c r="A119" s="100" t="s">
        <v>425</v>
      </c>
      <c r="B119" s="184" t="s">
        <v>31</v>
      </c>
      <c r="C119" s="186" t="s">
        <v>32</v>
      </c>
      <c r="D119" s="100" t="s">
        <v>129</v>
      </c>
      <c r="E119" s="100" t="s">
        <v>34</v>
      </c>
      <c r="F119" s="100" t="s">
        <v>84</v>
      </c>
      <c r="G119" s="184" t="s">
        <v>426</v>
      </c>
      <c r="H119" s="187">
        <v>2025</v>
      </c>
      <c r="I119" s="199"/>
      <c r="J119" s="200"/>
    </row>
    <row r="120" spans="1:10" ht="360" x14ac:dyDescent="0.2">
      <c r="A120" s="100" t="s">
        <v>427</v>
      </c>
      <c r="B120" s="184" t="s">
        <v>31</v>
      </c>
      <c r="C120" s="186" t="s">
        <v>32</v>
      </c>
      <c r="D120" s="100" t="s">
        <v>129</v>
      </c>
      <c r="E120" s="100" t="s">
        <v>34</v>
      </c>
      <c r="F120" s="100" t="s">
        <v>84</v>
      </c>
      <c r="G120" s="184" t="s">
        <v>428</v>
      </c>
      <c r="H120" s="187">
        <v>2025</v>
      </c>
      <c r="I120" s="199"/>
      <c r="J120" s="200"/>
    </row>
    <row r="121" spans="1:10" ht="409.5" x14ac:dyDescent="0.2">
      <c r="A121" s="100" t="s">
        <v>429</v>
      </c>
      <c r="B121" s="184" t="s">
        <v>31</v>
      </c>
      <c r="C121" s="186" t="s">
        <v>32</v>
      </c>
      <c r="D121" s="100" t="s">
        <v>129</v>
      </c>
      <c r="E121" s="100" t="s">
        <v>34</v>
      </c>
      <c r="F121" s="100" t="s">
        <v>84</v>
      </c>
      <c r="G121" s="184" t="s">
        <v>430</v>
      </c>
      <c r="H121" s="187">
        <v>2025</v>
      </c>
      <c r="I121" s="199"/>
      <c r="J121" s="200"/>
    </row>
    <row r="122" spans="1:10" ht="240" x14ac:dyDescent="0.2">
      <c r="A122" s="100" t="s">
        <v>431</v>
      </c>
      <c r="B122" s="184" t="s">
        <v>31</v>
      </c>
      <c r="C122" s="186" t="s">
        <v>32</v>
      </c>
      <c r="D122" s="100" t="s">
        <v>129</v>
      </c>
      <c r="E122" s="100" t="s">
        <v>34</v>
      </c>
      <c r="F122" s="100" t="s">
        <v>84</v>
      </c>
      <c r="G122" s="184" t="s">
        <v>432</v>
      </c>
      <c r="H122" s="187">
        <v>2025</v>
      </c>
      <c r="I122" s="199"/>
      <c r="J122" s="200"/>
    </row>
    <row r="123" spans="1:10" ht="345" x14ac:dyDescent="0.2">
      <c r="A123" s="100" t="s">
        <v>433</v>
      </c>
      <c r="B123" s="184" t="s">
        <v>31</v>
      </c>
      <c r="C123" s="186" t="s">
        <v>32</v>
      </c>
      <c r="D123" s="100" t="s">
        <v>129</v>
      </c>
      <c r="E123" s="100" t="s">
        <v>34</v>
      </c>
      <c r="F123" s="100" t="s">
        <v>38</v>
      </c>
      <c r="G123" s="184" t="s">
        <v>434</v>
      </c>
      <c r="H123" s="187">
        <v>2025</v>
      </c>
      <c r="I123" s="199"/>
      <c r="J123" s="200"/>
    </row>
    <row r="124" spans="1:10" ht="195" x14ac:dyDescent="0.2">
      <c r="A124" s="100" t="s">
        <v>435</v>
      </c>
      <c r="B124" s="184" t="s">
        <v>31</v>
      </c>
      <c r="C124" s="186" t="s">
        <v>32</v>
      </c>
      <c r="D124" s="100" t="s">
        <v>129</v>
      </c>
      <c r="E124" s="100" t="s">
        <v>34</v>
      </c>
      <c r="F124" s="100" t="s">
        <v>38</v>
      </c>
      <c r="G124" s="184" t="s">
        <v>436</v>
      </c>
      <c r="H124" s="187">
        <v>2025</v>
      </c>
      <c r="I124" s="199"/>
      <c r="J124" s="200"/>
    </row>
    <row r="125" spans="1:10" ht="165" x14ac:dyDescent="0.2">
      <c r="A125" s="100" t="s">
        <v>437</v>
      </c>
      <c r="B125" s="184" t="s">
        <v>31</v>
      </c>
      <c r="C125" s="186" t="s">
        <v>32</v>
      </c>
      <c r="D125" s="100" t="s">
        <v>129</v>
      </c>
      <c r="E125" s="100" t="s">
        <v>34</v>
      </c>
      <c r="F125" s="100" t="s">
        <v>38</v>
      </c>
      <c r="G125" s="184" t="s">
        <v>438</v>
      </c>
      <c r="H125" s="187">
        <v>2025</v>
      </c>
      <c r="I125" s="199"/>
      <c r="J125" s="200"/>
    </row>
    <row r="126" spans="1:10" ht="285" x14ac:dyDescent="0.2">
      <c r="A126" s="100" t="s">
        <v>439</v>
      </c>
      <c r="B126" s="184" t="s">
        <v>31</v>
      </c>
      <c r="C126" s="186" t="s">
        <v>32</v>
      </c>
      <c r="D126" s="100" t="s">
        <v>129</v>
      </c>
      <c r="E126" s="100" t="s">
        <v>34</v>
      </c>
      <c r="F126" s="100" t="s">
        <v>263</v>
      </c>
      <c r="G126" s="184" t="s">
        <v>440</v>
      </c>
      <c r="H126" s="187">
        <v>2025</v>
      </c>
      <c r="I126" s="199"/>
      <c r="J126" s="200"/>
    </row>
    <row r="127" spans="1:10" ht="165" x14ac:dyDescent="0.2">
      <c r="A127" s="100" t="s">
        <v>441</v>
      </c>
      <c r="B127" s="184" t="s">
        <v>31</v>
      </c>
      <c r="C127" s="186" t="s">
        <v>32</v>
      </c>
      <c r="D127" s="100" t="s">
        <v>129</v>
      </c>
      <c r="E127" s="100" t="s">
        <v>34</v>
      </c>
      <c r="F127" s="100" t="s">
        <v>263</v>
      </c>
      <c r="G127" s="184" t="s">
        <v>442</v>
      </c>
      <c r="H127" s="187">
        <v>2025</v>
      </c>
      <c r="I127" s="199"/>
      <c r="J127" s="200"/>
    </row>
    <row r="128" spans="1:10" ht="165" x14ac:dyDescent="0.2">
      <c r="A128" s="100" t="s">
        <v>443</v>
      </c>
      <c r="B128" s="184" t="s">
        <v>31</v>
      </c>
      <c r="C128" s="186" t="s">
        <v>32</v>
      </c>
      <c r="D128" s="100" t="s">
        <v>129</v>
      </c>
      <c r="E128" s="100" t="s">
        <v>34</v>
      </c>
      <c r="F128" s="100" t="s">
        <v>263</v>
      </c>
      <c r="G128" s="184" t="s">
        <v>444</v>
      </c>
      <c r="H128" s="187">
        <v>2025</v>
      </c>
      <c r="I128" s="199"/>
      <c r="J128" s="200"/>
    </row>
    <row r="129" spans="1:10" ht="165" x14ac:dyDescent="0.2">
      <c r="A129" s="100" t="s">
        <v>445</v>
      </c>
      <c r="B129" s="184" t="s">
        <v>31</v>
      </c>
      <c r="C129" s="186" t="s">
        <v>32</v>
      </c>
      <c r="D129" s="100" t="s">
        <v>129</v>
      </c>
      <c r="E129" s="100" t="s">
        <v>34</v>
      </c>
      <c r="F129" s="100" t="s">
        <v>263</v>
      </c>
      <c r="G129" s="184" t="s">
        <v>446</v>
      </c>
      <c r="H129" s="187">
        <v>2025</v>
      </c>
      <c r="I129" s="199"/>
      <c r="J129" s="200"/>
    </row>
    <row r="130" spans="1:10" ht="180" x14ac:dyDescent="0.2">
      <c r="A130" s="100" t="s">
        <v>447</v>
      </c>
      <c r="B130" s="184" t="s">
        <v>31</v>
      </c>
      <c r="C130" s="186" t="s">
        <v>32</v>
      </c>
      <c r="D130" s="100" t="s">
        <v>129</v>
      </c>
      <c r="E130" s="100" t="s">
        <v>34</v>
      </c>
      <c r="F130" s="100" t="s">
        <v>283</v>
      </c>
      <c r="G130" s="184" t="s">
        <v>448</v>
      </c>
      <c r="H130" s="187">
        <v>2025</v>
      </c>
      <c r="I130" s="199"/>
      <c r="J130" s="200"/>
    </row>
    <row r="131" spans="1:10" ht="240" x14ac:dyDescent="0.2">
      <c r="A131" s="100" t="s">
        <v>449</v>
      </c>
      <c r="B131" s="184" t="s">
        <v>31</v>
      </c>
      <c r="C131" s="186" t="s">
        <v>32</v>
      </c>
      <c r="D131" s="100" t="s">
        <v>129</v>
      </c>
      <c r="E131" s="100" t="s">
        <v>34</v>
      </c>
      <c r="F131" s="100" t="s">
        <v>450</v>
      </c>
      <c r="G131" s="184" t="s">
        <v>451</v>
      </c>
      <c r="H131" s="187">
        <v>2025</v>
      </c>
      <c r="I131" s="199"/>
      <c r="J131" s="200"/>
    </row>
    <row r="132" spans="1:10" ht="255" x14ac:dyDescent="0.2">
      <c r="A132" s="100" t="s">
        <v>452</v>
      </c>
      <c r="B132" s="184" t="s">
        <v>31</v>
      </c>
      <c r="C132" s="186" t="s">
        <v>32</v>
      </c>
      <c r="D132" s="100" t="s">
        <v>129</v>
      </c>
      <c r="E132" s="100" t="s">
        <v>34</v>
      </c>
      <c r="F132" s="100" t="s">
        <v>450</v>
      </c>
      <c r="G132" s="184" t="s">
        <v>453</v>
      </c>
      <c r="H132" s="187">
        <v>2025</v>
      </c>
      <c r="I132" s="199"/>
      <c r="J132" s="200"/>
    </row>
    <row r="133" spans="1:10" ht="210" x14ac:dyDescent="0.2">
      <c r="A133" s="100" t="s">
        <v>454</v>
      </c>
      <c r="B133" s="184" t="s">
        <v>31</v>
      </c>
      <c r="C133" s="186" t="s">
        <v>32</v>
      </c>
      <c r="D133" s="100" t="s">
        <v>129</v>
      </c>
      <c r="E133" s="100" t="s">
        <v>34</v>
      </c>
      <c r="F133" s="100" t="s">
        <v>450</v>
      </c>
      <c r="G133" s="184" t="s">
        <v>455</v>
      </c>
      <c r="H133" s="187">
        <v>2025</v>
      </c>
      <c r="I133" s="199"/>
      <c r="J133" s="200"/>
    </row>
    <row r="134" spans="1:10" ht="270" x14ac:dyDescent="0.2">
      <c r="A134" s="100" t="s">
        <v>456</v>
      </c>
      <c r="B134" s="184" t="s">
        <v>31</v>
      </c>
      <c r="C134" s="186" t="s">
        <v>32</v>
      </c>
      <c r="D134" s="100" t="s">
        <v>129</v>
      </c>
      <c r="E134" s="100" t="s">
        <v>34</v>
      </c>
      <c r="F134" s="100" t="s">
        <v>184</v>
      </c>
      <c r="G134" s="184" t="s">
        <v>457</v>
      </c>
      <c r="H134" s="187">
        <v>2025</v>
      </c>
      <c r="I134" s="199"/>
      <c r="J134" s="200"/>
    </row>
    <row r="135" spans="1:10" ht="285" x14ac:dyDescent="0.2">
      <c r="A135" s="100" t="s">
        <v>458</v>
      </c>
      <c r="B135" s="184" t="s">
        <v>31</v>
      </c>
      <c r="C135" s="186" t="s">
        <v>32</v>
      </c>
      <c r="D135" s="100" t="s">
        <v>129</v>
      </c>
      <c r="E135" s="100" t="s">
        <v>34</v>
      </c>
      <c r="F135" s="100" t="s">
        <v>459</v>
      </c>
      <c r="G135" s="184" t="s">
        <v>460</v>
      </c>
      <c r="H135" s="187">
        <v>2025</v>
      </c>
      <c r="I135" s="199"/>
      <c r="J135" s="200"/>
    </row>
    <row r="136" spans="1:10" ht="240" x14ac:dyDescent="0.2">
      <c r="A136" s="100" t="s">
        <v>461</v>
      </c>
      <c r="B136" s="184" t="s">
        <v>31</v>
      </c>
      <c r="C136" s="186" t="s">
        <v>32</v>
      </c>
      <c r="D136" s="100" t="s">
        <v>129</v>
      </c>
      <c r="E136" s="100" t="s">
        <v>34</v>
      </c>
      <c r="F136" s="100" t="s">
        <v>459</v>
      </c>
      <c r="G136" s="184" t="s">
        <v>462</v>
      </c>
      <c r="H136" s="187">
        <v>2025</v>
      </c>
      <c r="I136" s="199"/>
      <c r="J136" s="200"/>
    </row>
    <row r="137" spans="1:10" ht="15" x14ac:dyDescent="0.2">
      <c r="A137" s="100" t="s">
        <v>115</v>
      </c>
      <c r="B137" s="184" t="s">
        <v>31</v>
      </c>
      <c r="C137" s="186" t="s">
        <v>162</v>
      </c>
      <c r="D137" s="100" t="s">
        <v>81</v>
      </c>
      <c r="E137" s="100" t="s">
        <v>34</v>
      </c>
      <c r="F137" s="100" t="s">
        <v>118</v>
      </c>
      <c r="G137" s="184" t="s">
        <v>163</v>
      </c>
      <c r="H137" s="187">
        <v>2025</v>
      </c>
      <c r="I137" s="199"/>
      <c r="J137" s="200"/>
    </row>
    <row r="138" spans="1:10" ht="15" x14ac:dyDescent="0.2">
      <c r="A138" s="100" t="s">
        <v>463</v>
      </c>
      <c r="B138" s="184" t="s">
        <v>31</v>
      </c>
      <c r="C138" s="186" t="s">
        <v>32</v>
      </c>
      <c r="D138" s="100" t="s">
        <v>99</v>
      </c>
      <c r="E138" s="100" t="s">
        <v>34</v>
      </c>
      <c r="F138" s="100" t="s">
        <v>35</v>
      </c>
      <c r="G138" s="184" t="s">
        <v>464</v>
      </c>
      <c r="H138" s="187">
        <v>2025</v>
      </c>
      <c r="I138" s="199"/>
      <c r="J138" s="200"/>
    </row>
    <row r="139" spans="1:10" ht="15" x14ac:dyDescent="0.2">
      <c r="A139" s="100" t="s">
        <v>115</v>
      </c>
      <c r="B139" s="184" t="s">
        <v>31</v>
      </c>
      <c r="C139" s="186" t="s">
        <v>116</v>
      </c>
      <c r="D139" s="100" t="s">
        <v>117</v>
      </c>
      <c r="E139" s="100" t="s">
        <v>34</v>
      </c>
      <c r="F139" s="100" t="s">
        <v>118</v>
      </c>
      <c r="G139" s="184" t="s">
        <v>119</v>
      </c>
      <c r="H139" s="187">
        <v>2026</v>
      </c>
      <c r="I139" s="199"/>
      <c r="J139" s="200"/>
    </row>
    <row r="140" spans="1:10" ht="30" x14ac:dyDescent="0.2">
      <c r="A140" s="100">
        <v>516.1</v>
      </c>
      <c r="B140" s="184" t="s">
        <v>115</v>
      </c>
      <c r="C140" s="186" t="s">
        <v>115</v>
      </c>
      <c r="D140" s="100" t="s">
        <v>129</v>
      </c>
      <c r="E140" s="100" t="s">
        <v>34</v>
      </c>
      <c r="F140" s="100" t="s">
        <v>35</v>
      </c>
      <c r="G140" s="184" t="s">
        <v>465</v>
      </c>
      <c r="H140" s="187">
        <v>2026</v>
      </c>
      <c r="I140" s="199"/>
      <c r="J140" s="200"/>
    </row>
    <row r="141" spans="1:10" ht="30" x14ac:dyDescent="0.2">
      <c r="A141" s="100">
        <v>517.1</v>
      </c>
      <c r="B141" s="184" t="s">
        <v>115</v>
      </c>
      <c r="C141" s="186" t="s">
        <v>115</v>
      </c>
      <c r="D141" s="100" t="s">
        <v>129</v>
      </c>
      <c r="E141" s="100" t="s">
        <v>34</v>
      </c>
      <c r="F141" s="100" t="s">
        <v>35</v>
      </c>
      <c r="G141" s="184" t="s">
        <v>466</v>
      </c>
      <c r="H141" s="187">
        <v>2026</v>
      </c>
      <c r="I141" s="199"/>
      <c r="J141" s="200"/>
    </row>
    <row r="142" spans="1:10" ht="30" x14ac:dyDescent="0.2">
      <c r="A142" s="100">
        <v>518.1</v>
      </c>
      <c r="B142" s="184" t="s">
        <v>115</v>
      </c>
      <c r="C142" s="186" t="s">
        <v>115</v>
      </c>
      <c r="D142" s="100" t="s">
        <v>129</v>
      </c>
      <c r="E142" s="100" t="s">
        <v>34</v>
      </c>
      <c r="F142" s="100" t="s">
        <v>35</v>
      </c>
      <c r="G142" s="184" t="s">
        <v>467</v>
      </c>
      <c r="H142" s="187">
        <v>2026</v>
      </c>
      <c r="I142" s="199"/>
      <c r="J142" s="200"/>
    </row>
    <row r="143" spans="1:10" ht="30" x14ac:dyDescent="0.2">
      <c r="A143" s="100">
        <v>519.1</v>
      </c>
      <c r="B143" s="184" t="s">
        <v>115</v>
      </c>
      <c r="C143" s="186" t="s">
        <v>115</v>
      </c>
      <c r="D143" s="100" t="s">
        <v>129</v>
      </c>
      <c r="E143" s="100" t="s">
        <v>34</v>
      </c>
      <c r="F143" s="100" t="s">
        <v>35</v>
      </c>
      <c r="G143" s="184" t="s">
        <v>468</v>
      </c>
      <c r="H143" s="187">
        <v>2026</v>
      </c>
      <c r="I143" s="199"/>
      <c r="J143" s="200"/>
    </row>
    <row r="144" spans="1:10" ht="30" x14ac:dyDescent="0.2">
      <c r="A144" s="100">
        <v>519.20000000000005</v>
      </c>
      <c r="B144" s="184" t="s">
        <v>115</v>
      </c>
      <c r="C144" s="186" t="s">
        <v>115</v>
      </c>
      <c r="D144" s="100" t="s">
        <v>129</v>
      </c>
      <c r="E144" s="100" t="s">
        <v>34</v>
      </c>
      <c r="F144" s="100" t="s">
        <v>35</v>
      </c>
      <c r="G144" s="184" t="s">
        <v>469</v>
      </c>
      <c r="H144" s="187">
        <v>2026</v>
      </c>
      <c r="I144" s="199"/>
      <c r="J144" s="200"/>
    </row>
    <row r="145" spans="1:10" ht="30" x14ac:dyDescent="0.2">
      <c r="A145" s="100">
        <v>520.1</v>
      </c>
      <c r="B145" s="184" t="s">
        <v>115</v>
      </c>
      <c r="C145" s="186" t="s">
        <v>115</v>
      </c>
      <c r="D145" s="100" t="s">
        <v>129</v>
      </c>
      <c r="E145" s="100" t="s">
        <v>34</v>
      </c>
      <c r="F145" s="100" t="s">
        <v>35</v>
      </c>
      <c r="G145" s="184" t="s">
        <v>470</v>
      </c>
      <c r="H145" s="187">
        <v>2026</v>
      </c>
      <c r="I145" s="199"/>
      <c r="J145" s="200"/>
    </row>
    <row r="146" spans="1:10" ht="30" x14ac:dyDescent="0.2">
      <c r="A146" s="100">
        <v>520.20000000000005</v>
      </c>
      <c r="B146" s="184" t="s">
        <v>115</v>
      </c>
      <c r="C146" s="186" t="s">
        <v>115</v>
      </c>
      <c r="D146" s="100" t="s">
        <v>129</v>
      </c>
      <c r="E146" s="100" t="s">
        <v>34</v>
      </c>
      <c r="F146" s="100" t="s">
        <v>35</v>
      </c>
      <c r="G146" s="184" t="s">
        <v>471</v>
      </c>
      <c r="H146" s="187">
        <v>2026</v>
      </c>
      <c r="I146" s="199"/>
      <c r="J146" s="200"/>
    </row>
    <row r="147" spans="1:10" ht="30" x14ac:dyDescent="0.2">
      <c r="A147" s="100">
        <v>521.1</v>
      </c>
      <c r="B147" s="184" t="s">
        <v>115</v>
      </c>
      <c r="C147" s="186" t="s">
        <v>115</v>
      </c>
      <c r="D147" s="100" t="s">
        <v>129</v>
      </c>
      <c r="E147" s="100" t="s">
        <v>34</v>
      </c>
      <c r="F147" s="100" t="s">
        <v>35</v>
      </c>
      <c r="G147" s="184" t="s">
        <v>472</v>
      </c>
      <c r="H147" s="187">
        <v>2026</v>
      </c>
      <c r="I147" s="199"/>
      <c r="J147" s="200"/>
    </row>
    <row r="148" spans="1:10" ht="30" x14ac:dyDescent="0.2">
      <c r="A148" s="100">
        <v>522.1</v>
      </c>
      <c r="B148" s="184" t="s">
        <v>115</v>
      </c>
      <c r="C148" s="186" t="s">
        <v>115</v>
      </c>
      <c r="D148" s="100" t="s">
        <v>129</v>
      </c>
      <c r="E148" s="100" t="s">
        <v>34</v>
      </c>
      <c r="F148" s="100" t="s">
        <v>35</v>
      </c>
      <c r="G148" s="184" t="s">
        <v>473</v>
      </c>
      <c r="H148" s="187">
        <v>2026</v>
      </c>
      <c r="I148" s="199"/>
      <c r="J148" s="200"/>
    </row>
    <row r="149" spans="1:10" ht="15" x14ac:dyDescent="0.2">
      <c r="A149" s="100" t="s">
        <v>127</v>
      </c>
      <c r="B149" s="184" t="s">
        <v>115</v>
      </c>
      <c r="C149" s="186" t="s">
        <v>128</v>
      </c>
      <c r="D149" s="100" t="s">
        <v>129</v>
      </c>
      <c r="E149" s="100" t="s">
        <v>34</v>
      </c>
      <c r="F149" s="100" t="s">
        <v>118</v>
      </c>
      <c r="G149" s="184" t="s">
        <v>130</v>
      </c>
      <c r="H149" s="187">
        <v>2026</v>
      </c>
      <c r="I149" s="199"/>
      <c r="J149" s="200"/>
    </row>
    <row r="150" spans="1:10" ht="81" customHeight="1" x14ac:dyDescent="0.2">
      <c r="A150" s="100">
        <v>512.1</v>
      </c>
      <c r="B150" s="184" t="s">
        <v>115</v>
      </c>
      <c r="C150" s="186" t="s">
        <v>115</v>
      </c>
      <c r="D150" s="100" t="s">
        <v>474</v>
      </c>
      <c r="E150" s="100" t="s">
        <v>34</v>
      </c>
      <c r="F150" s="100" t="s">
        <v>35</v>
      </c>
      <c r="G150" s="184" t="s">
        <v>475</v>
      </c>
      <c r="H150" s="187">
        <v>2026</v>
      </c>
      <c r="I150" s="199"/>
      <c r="J150" s="200"/>
    </row>
    <row r="151" spans="1:10" ht="60" x14ac:dyDescent="0.2">
      <c r="A151" s="100">
        <v>513.1</v>
      </c>
      <c r="B151" s="184" t="s">
        <v>115</v>
      </c>
      <c r="C151" s="186" t="s">
        <v>115</v>
      </c>
      <c r="D151" s="100" t="s">
        <v>474</v>
      </c>
      <c r="E151" s="100" t="s">
        <v>34</v>
      </c>
      <c r="F151" s="100" t="s">
        <v>35</v>
      </c>
      <c r="G151" s="184" t="s">
        <v>476</v>
      </c>
      <c r="H151" s="187">
        <v>2026</v>
      </c>
      <c r="I151" s="199"/>
      <c r="J151" s="200"/>
    </row>
    <row r="152" spans="1:10" ht="60" x14ac:dyDescent="0.2">
      <c r="A152" s="100">
        <v>514.1</v>
      </c>
      <c r="B152" s="184" t="s">
        <v>115</v>
      </c>
      <c r="C152" s="186" t="s">
        <v>115</v>
      </c>
      <c r="D152" s="100" t="s">
        <v>474</v>
      </c>
      <c r="E152" s="100" t="s">
        <v>34</v>
      </c>
      <c r="F152" s="100" t="s">
        <v>71</v>
      </c>
      <c r="G152" s="184" t="s">
        <v>477</v>
      </c>
      <c r="H152" s="187">
        <v>2026</v>
      </c>
      <c r="I152" s="199"/>
      <c r="J152" s="200"/>
    </row>
    <row r="153" spans="1:10" ht="30" x14ac:dyDescent="0.2">
      <c r="A153" s="100">
        <v>515.1</v>
      </c>
      <c r="B153" s="184" t="s">
        <v>115</v>
      </c>
      <c r="C153" s="186" t="s">
        <v>115</v>
      </c>
      <c r="D153" s="100" t="s">
        <v>474</v>
      </c>
      <c r="E153" s="100" t="s">
        <v>34</v>
      </c>
      <c r="F153" s="100" t="s">
        <v>95</v>
      </c>
      <c r="G153" s="184" t="s">
        <v>478</v>
      </c>
      <c r="H153" s="187">
        <v>2026</v>
      </c>
      <c r="I153" s="199"/>
      <c r="J153" s="200"/>
    </row>
    <row r="154" spans="1:10" ht="27" customHeight="1" x14ac:dyDescent="0.2">
      <c r="A154" s="100" t="s">
        <v>115</v>
      </c>
      <c r="B154" s="184" t="s">
        <v>31</v>
      </c>
      <c r="C154" s="186" t="s">
        <v>162</v>
      </c>
      <c r="D154" s="100" t="s">
        <v>81</v>
      </c>
      <c r="E154" s="100" t="s">
        <v>34</v>
      </c>
      <c r="F154" s="100" t="s">
        <v>118</v>
      </c>
      <c r="G154" s="184" t="s">
        <v>163</v>
      </c>
      <c r="H154" s="187">
        <v>2026</v>
      </c>
      <c r="I154" s="199"/>
      <c r="J154" s="200"/>
    </row>
    <row r="155" spans="1:10" ht="25.5" customHeight="1" x14ac:dyDescent="0.2"/>
  </sheetData>
  <sheetProtection formatCells="0" formatColumns="0" formatRows="0" selectLockedCells="1" sort="0" autoFilter="0" pivotTables="0"/>
  <sortState xmlns:xlrd2="http://schemas.microsoft.com/office/spreadsheetml/2017/richdata2" ref="A7:J153">
    <sortCondition ref="H7:H153"/>
    <sortCondition ref="D7:D153"/>
  </sortState>
  <mergeCells count="2">
    <mergeCell ref="A1:J1"/>
    <mergeCell ref="A2:J2"/>
  </mergeCells>
  <printOptions horizontalCentered="1"/>
  <pageMargins left="0.75" right="0.75" top="1" bottom="1" header="0.5" footer="0.5"/>
  <pageSetup scale="44" fitToHeight="0" orientation="landscape" r:id="rId1"/>
  <headerFooter scaleWithDoc="0">
    <oddHeader>&amp;RPetitioner's Exhibit No. 2
Attachment  &amp;A
CEI South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E9FD-1219-4BEE-8F39-3A9E738D725E}">
  <sheetPr codeName="Sheet5">
    <pageSetUpPr fitToPage="1"/>
  </sheetPr>
  <dimension ref="A1:J70"/>
  <sheetViews>
    <sheetView view="pageBreakPreview" zoomScale="90" zoomScaleNormal="10" zoomScaleSheetLayoutView="90" zoomScalePageLayoutView="90" workbookViewId="0">
      <pane ySplit="6" topLeftCell="A7" activePane="bottomLeft" state="frozen"/>
      <selection pane="bottomLeft" activeCell="A7" sqref="A7"/>
    </sheetView>
  </sheetViews>
  <sheetFormatPr defaultColWidth="9.140625" defaultRowHeight="12.75" x14ac:dyDescent="0.2"/>
  <cols>
    <col min="1" max="1" width="16.5703125" style="48" bestFit="1" customWidth="1"/>
    <col min="2" max="3" width="17.42578125" style="49" bestFit="1" customWidth="1"/>
    <col min="4" max="4" width="11.7109375" style="48" customWidth="1"/>
    <col min="5" max="5" width="13" style="24" customWidth="1"/>
    <col min="6" max="6" width="19" style="24" bestFit="1" customWidth="1"/>
    <col min="7" max="7" width="46.42578125" style="24" bestFit="1" customWidth="1"/>
    <col min="8" max="8" width="14.140625" style="48" customWidth="1"/>
    <col min="9" max="9" width="15.85546875" style="48" customWidth="1"/>
    <col min="10" max="10" width="15.85546875" style="48" bestFit="1" customWidth="1"/>
    <col min="11" max="16384" width="9.140625" style="22"/>
  </cols>
  <sheetData>
    <row r="1" spans="1:10" s="1" customFormat="1" ht="18" x14ac:dyDescent="0.25">
      <c r="A1" s="214" t="s">
        <v>2</v>
      </c>
      <c r="B1" s="214"/>
      <c r="C1" s="214"/>
      <c r="D1" s="214"/>
      <c r="E1" s="214"/>
      <c r="F1" s="214"/>
      <c r="G1" s="214"/>
      <c r="H1" s="214"/>
      <c r="I1" s="214"/>
      <c r="J1" s="214"/>
    </row>
    <row r="2" spans="1:10" s="1" customFormat="1" ht="18" x14ac:dyDescent="0.25">
      <c r="A2" s="214" t="s">
        <v>479</v>
      </c>
      <c r="B2" s="214"/>
      <c r="C2" s="214"/>
      <c r="D2" s="214"/>
      <c r="E2" s="214"/>
      <c r="F2" s="214"/>
      <c r="G2" s="214"/>
      <c r="H2" s="214"/>
      <c r="I2" s="214"/>
      <c r="J2" s="214"/>
    </row>
    <row r="3" spans="1:10" s="1" customFormat="1" ht="18" x14ac:dyDescent="0.2">
      <c r="A3" s="2"/>
      <c r="B3" s="3"/>
      <c r="C3" s="43"/>
      <c r="D3" s="7"/>
      <c r="E3" s="3"/>
      <c r="F3" s="43"/>
      <c r="G3" s="7"/>
      <c r="H3" s="3"/>
      <c r="I3" s="43"/>
      <c r="J3" s="7"/>
    </row>
    <row r="4" spans="1:10" s="1" customFormat="1" ht="18" x14ac:dyDescent="0.25">
      <c r="A4" s="10"/>
      <c r="B4" s="45"/>
      <c r="C4" s="9"/>
      <c r="D4" s="209"/>
      <c r="E4" s="46"/>
      <c r="F4" s="8"/>
      <c r="G4" s="8"/>
      <c r="H4" s="209"/>
      <c r="I4" s="209"/>
      <c r="J4" s="209"/>
    </row>
    <row r="5" spans="1:10" s="1" customFormat="1" ht="14.25" x14ac:dyDescent="0.2">
      <c r="A5" s="16"/>
      <c r="B5" s="17"/>
      <c r="D5" s="20"/>
      <c r="E5" s="9"/>
      <c r="F5" s="9"/>
      <c r="G5" s="9"/>
      <c r="H5" s="20"/>
      <c r="I5" s="20"/>
      <c r="J5" s="20"/>
    </row>
    <row r="6" spans="1:10" s="47" customFormat="1" ht="38.25" x14ac:dyDescent="0.25">
      <c r="A6" s="79" t="s">
        <v>20</v>
      </c>
      <c r="B6" s="79" t="s">
        <v>21</v>
      </c>
      <c r="C6" s="79" t="s">
        <v>22</v>
      </c>
      <c r="D6" s="79" t="s">
        <v>23</v>
      </c>
      <c r="E6" s="79" t="s">
        <v>24</v>
      </c>
      <c r="F6" s="79" t="s">
        <v>25</v>
      </c>
      <c r="G6" s="79" t="s">
        <v>26</v>
      </c>
      <c r="H6" s="79" t="s">
        <v>27</v>
      </c>
      <c r="I6" s="79" t="s">
        <v>28</v>
      </c>
      <c r="J6" s="80" t="s">
        <v>29</v>
      </c>
    </row>
    <row r="7" spans="1:10" ht="45" x14ac:dyDescent="0.2">
      <c r="A7" s="100" t="s">
        <v>480</v>
      </c>
      <c r="B7" s="184" t="s">
        <v>481</v>
      </c>
      <c r="C7" s="184" t="s">
        <v>482</v>
      </c>
      <c r="D7" s="100" t="s">
        <v>483</v>
      </c>
      <c r="E7" s="100" t="s">
        <v>34</v>
      </c>
      <c r="F7" s="100" t="s">
        <v>263</v>
      </c>
      <c r="G7" s="184" t="s">
        <v>484</v>
      </c>
      <c r="H7" s="187">
        <v>2022</v>
      </c>
      <c r="I7" s="199"/>
      <c r="J7" s="200"/>
    </row>
    <row r="8" spans="1:10" ht="30" x14ac:dyDescent="0.2">
      <c r="A8" s="100" t="s">
        <v>485</v>
      </c>
      <c r="B8" s="184" t="s">
        <v>486</v>
      </c>
      <c r="C8" s="184" t="s">
        <v>487</v>
      </c>
      <c r="D8" s="100" t="s">
        <v>483</v>
      </c>
      <c r="E8" s="100" t="s">
        <v>34</v>
      </c>
      <c r="F8" s="100" t="s">
        <v>263</v>
      </c>
      <c r="G8" s="184" t="s">
        <v>488</v>
      </c>
      <c r="H8" s="187">
        <v>2022</v>
      </c>
      <c r="I8" s="199"/>
      <c r="J8" s="200"/>
    </row>
    <row r="9" spans="1:10" ht="30" x14ac:dyDescent="0.2">
      <c r="A9" s="100" t="s">
        <v>489</v>
      </c>
      <c r="B9" s="184" t="s">
        <v>490</v>
      </c>
      <c r="C9" s="184" t="s">
        <v>491</v>
      </c>
      <c r="D9" s="100" t="s">
        <v>483</v>
      </c>
      <c r="E9" s="100" t="s">
        <v>34</v>
      </c>
      <c r="F9" s="100" t="s">
        <v>263</v>
      </c>
      <c r="G9" s="184" t="s">
        <v>492</v>
      </c>
      <c r="H9" s="187">
        <v>2022</v>
      </c>
      <c r="I9" s="199"/>
      <c r="J9" s="200"/>
    </row>
    <row r="10" spans="1:10" ht="30" x14ac:dyDescent="0.2">
      <c r="A10" s="100" t="s">
        <v>493</v>
      </c>
      <c r="B10" s="184" t="s">
        <v>494</v>
      </c>
      <c r="C10" s="184" t="s">
        <v>495</v>
      </c>
      <c r="D10" s="100" t="s">
        <v>483</v>
      </c>
      <c r="E10" s="100" t="s">
        <v>34</v>
      </c>
      <c r="F10" s="100" t="s">
        <v>35</v>
      </c>
      <c r="G10" s="184" t="s">
        <v>496</v>
      </c>
      <c r="H10" s="187">
        <v>2022</v>
      </c>
      <c r="I10" s="199"/>
      <c r="J10" s="200"/>
    </row>
    <row r="11" spans="1:10" ht="30" x14ac:dyDescent="0.2">
      <c r="A11" s="100" t="s">
        <v>497</v>
      </c>
      <c r="B11" s="184" t="s">
        <v>498</v>
      </c>
      <c r="C11" s="184" t="s">
        <v>499</v>
      </c>
      <c r="D11" s="100" t="s">
        <v>483</v>
      </c>
      <c r="E11" s="100" t="s">
        <v>34</v>
      </c>
      <c r="F11" s="100" t="s">
        <v>35</v>
      </c>
      <c r="G11" s="184" t="s">
        <v>500</v>
      </c>
      <c r="H11" s="187">
        <v>2022</v>
      </c>
      <c r="I11" s="199"/>
      <c r="J11" s="200"/>
    </row>
    <row r="12" spans="1:10" ht="30" x14ac:dyDescent="0.2">
      <c r="A12" s="100" t="s">
        <v>501</v>
      </c>
      <c r="B12" s="184" t="s">
        <v>502</v>
      </c>
      <c r="C12" s="184" t="s">
        <v>503</v>
      </c>
      <c r="D12" s="100" t="s">
        <v>483</v>
      </c>
      <c r="E12" s="100" t="s">
        <v>34</v>
      </c>
      <c r="F12" s="100" t="s">
        <v>35</v>
      </c>
      <c r="G12" s="184" t="s">
        <v>504</v>
      </c>
      <c r="H12" s="187">
        <v>2022</v>
      </c>
      <c r="I12" s="199"/>
      <c r="J12" s="200"/>
    </row>
    <row r="13" spans="1:10" ht="30" x14ac:dyDescent="0.2">
      <c r="A13" s="100" t="s">
        <v>505</v>
      </c>
      <c r="B13" s="184" t="s">
        <v>506</v>
      </c>
      <c r="C13" s="184" t="s">
        <v>507</v>
      </c>
      <c r="D13" s="100" t="s">
        <v>483</v>
      </c>
      <c r="E13" s="100" t="s">
        <v>34</v>
      </c>
      <c r="F13" s="100" t="s">
        <v>35</v>
      </c>
      <c r="G13" s="184" t="s">
        <v>508</v>
      </c>
      <c r="H13" s="187">
        <v>2022</v>
      </c>
      <c r="I13" s="199"/>
      <c r="J13" s="200"/>
    </row>
    <row r="14" spans="1:10" ht="30" x14ac:dyDescent="0.2">
      <c r="A14" s="100" t="s">
        <v>509</v>
      </c>
      <c r="B14" s="184" t="s">
        <v>510</v>
      </c>
      <c r="C14" s="184" t="s">
        <v>511</v>
      </c>
      <c r="D14" s="100" t="s">
        <v>483</v>
      </c>
      <c r="E14" s="100" t="s">
        <v>34</v>
      </c>
      <c r="F14" s="100" t="s">
        <v>35</v>
      </c>
      <c r="G14" s="184" t="s">
        <v>512</v>
      </c>
      <c r="H14" s="187">
        <v>2022</v>
      </c>
      <c r="I14" s="199"/>
      <c r="J14" s="200"/>
    </row>
    <row r="15" spans="1:10" ht="30" x14ac:dyDescent="0.2">
      <c r="A15" s="100" t="s">
        <v>513</v>
      </c>
      <c r="B15" s="184" t="s">
        <v>514</v>
      </c>
      <c r="C15" s="184" t="s">
        <v>515</v>
      </c>
      <c r="D15" s="100" t="s">
        <v>483</v>
      </c>
      <c r="E15" s="100" t="s">
        <v>34</v>
      </c>
      <c r="F15" s="100" t="s">
        <v>35</v>
      </c>
      <c r="G15" s="184" t="s">
        <v>516</v>
      </c>
      <c r="H15" s="187">
        <v>2022</v>
      </c>
      <c r="I15" s="199"/>
      <c r="J15" s="200"/>
    </row>
    <row r="16" spans="1:10" ht="30" x14ac:dyDescent="0.2">
      <c r="A16" s="100" t="s">
        <v>517</v>
      </c>
      <c r="B16" s="184" t="s">
        <v>518</v>
      </c>
      <c r="C16" s="184" t="s">
        <v>519</v>
      </c>
      <c r="D16" s="100" t="s">
        <v>483</v>
      </c>
      <c r="E16" s="100" t="s">
        <v>34</v>
      </c>
      <c r="F16" s="100" t="s">
        <v>35</v>
      </c>
      <c r="G16" s="184" t="s">
        <v>520</v>
      </c>
      <c r="H16" s="187">
        <v>2022</v>
      </c>
      <c r="I16" s="199"/>
      <c r="J16" s="200"/>
    </row>
    <row r="17" spans="1:10" ht="30" x14ac:dyDescent="0.2">
      <c r="A17" s="100" t="s">
        <v>521</v>
      </c>
      <c r="B17" s="184" t="s">
        <v>522</v>
      </c>
      <c r="C17" s="184" t="s">
        <v>523</v>
      </c>
      <c r="D17" s="100" t="s">
        <v>483</v>
      </c>
      <c r="E17" s="100" t="s">
        <v>34</v>
      </c>
      <c r="F17" s="100" t="s">
        <v>35</v>
      </c>
      <c r="G17" s="184" t="s">
        <v>524</v>
      </c>
      <c r="H17" s="187">
        <v>2022</v>
      </c>
      <c r="I17" s="199"/>
      <c r="J17" s="200"/>
    </row>
    <row r="18" spans="1:10" ht="30" x14ac:dyDescent="0.2">
      <c r="A18" s="100" t="s">
        <v>525</v>
      </c>
      <c r="B18" s="184" t="s">
        <v>526</v>
      </c>
      <c r="C18" s="184" t="s">
        <v>527</v>
      </c>
      <c r="D18" s="100" t="s">
        <v>483</v>
      </c>
      <c r="E18" s="100" t="s">
        <v>34</v>
      </c>
      <c r="F18" s="100" t="s">
        <v>35</v>
      </c>
      <c r="G18" s="184" t="s">
        <v>528</v>
      </c>
      <c r="H18" s="187">
        <v>2022</v>
      </c>
      <c r="I18" s="199"/>
      <c r="J18" s="200"/>
    </row>
    <row r="19" spans="1:10" ht="30" x14ac:dyDescent="0.2">
      <c r="A19" s="100" t="s">
        <v>529</v>
      </c>
      <c r="B19" s="184" t="s">
        <v>530</v>
      </c>
      <c r="C19" s="184" t="s">
        <v>531</v>
      </c>
      <c r="D19" s="100" t="s">
        <v>483</v>
      </c>
      <c r="E19" s="100" t="s">
        <v>34</v>
      </c>
      <c r="F19" s="100" t="s">
        <v>263</v>
      </c>
      <c r="G19" s="184" t="s">
        <v>532</v>
      </c>
      <c r="H19" s="187">
        <v>2022</v>
      </c>
      <c r="I19" s="199"/>
      <c r="J19" s="200"/>
    </row>
    <row r="20" spans="1:10" ht="30" x14ac:dyDescent="0.2">
      <c r="A20" s="100" t="s">
        <v>533</v>
      </c>
      <c r="B20" s="184" t="s">
        <v>534</v>
      </c>
      <c r="C20" s="184" t="s">
        <v>535</v>
      </c>
      <c r="D20" s="100" t="s">
        <v>483</v>
      </c>
      <c r="E20" s="100" t="s">
        <v>34</v>
      </c>
      <c r="F20" s="100" t="s">
        <v>35</v>
      </c>
      <c r="G20" s="184" t="s">
        <v>536</v>
      </c>
      <c r="H20" s="187">
        <v>2022</v>
      </c>
      <c r="I20" s="199"/>
      <c r="J20" s="200"/>
    </row>
    <row r="21" spans="1:10" ht="30" x14ac:dyDescent="0.2">
      <c r="A21" s="100" t="s">
        <v>537</v>
      </c>
      <c r="B21" s="184" t="s">
        <v>538</v>
      </c>
      <c r="C21" s="184" t="s">
        <v>539</v>
      </c>
      <c r="D21" s="100" t="s">
        <v>483</v>
      </c>
      <c r="E21" s="100" t="s">
        <v>34</v>
      </c>
      <c r="F21" s="100" t="s">
        <v>35</v>
      </c>
      <c r="G21" s="184" t="s">
        <v>540</v>
      </c>
      <c r="H21" s="187">
        <v>2022</v>
      </c>
      <c r="I21" s="199"/>
      <c r="J21" s="200"/>
    </row>
    <row r="22" spans="1:10" ht="30" x14ac:dyDescent="0.2">
      <c r="A22" s="100" t="s">
        <v>541</v>
      </c>
      <c r="B22" s="184" t="s">
        <v>542</v>
      </c>
      <c r="C22" s="184" t="s">
        <v>543</v>
      </c>
      <c r="D22" s="100" t="s">
        <v>483</v>
      </c>
      <c r="E22" s="100" t="s">
        <v>34</v>
      </c>
      <c r="F22" s="100" t="s">
        <v>35</v>
      </c>
      <c r="G22" s="184" t="s">
        <v>544</v>
      </c>
      <c r="H22" s="187">
        <v>2022</v>
      </c>
      <c r="I22" s="199"/>
      <c r="J22" s="200"/>
    </row>
    <row r="23" spans="1:10" ht="30" x14ac:dyDescent="0.2">
      <c r="A23" s="100" t="s">
        <v>545</v>
      </c>
      <c r="B23" s="184" t="s">
        <v>546</v>
      </c>
      <c r="C23" s="184" t="s">
        <v>547</v>
      </c>
      <c r="D23" s="100" t="s">
        <v>483</v>
      </c>
      <c r="E23" s="100" t="s">
        <v>34</v>
      </c>
      <c r="F23" s="100" t="s">
        <v>263</v>
      </c>
      <c r="G23" s="184" t="s">
        <v>548</v>
      </c>
      <c r="H23" s="187">
        <v>2022</v>
      </c>
      <c r="I23" s="199"/>
      <c r="J23" s="200"/>
    </row>
    <row r="24" spans="1:10" ht="30" x14ac:dyDescent="0.2">
      <c r="A24" s="100" t="s">
        <v>549</v>
      </c>
      <c r="B24" s="184" t="s">
        <v>550</v>
      </c>
      <c r="C24" s="184" t="s">
        <v>551</v>
      </c>
      <c r="D24" s="100" t="s">
        <v>483</v>
      </c>
      <c r="E24" s="100" t="s">
        <v>34</v>
      </c>
      <c r="F24" s="100" t="s">
        <v>263</v>
      </c>
      <c r="G24" s="184" t="s">
        <v>552</v>
      </c>
      <c r="H24" s="187">
        <v>2022</v>
      </c>
      <c r="I24" s="199"/>
      <c r="J24" s="200"/>
    </row>
    <row r="25" spans="1:10" ht="30" x14ac:dyDescent="0.2">
      <c r="A25" s="100" t="s">
        <v>553</v>
      </c>
      <c r="B25" s="184" t="s">
        <v>554</v>
      </c>
      <c r="C25" s="184" t="s">
        <v>555</v>
      </c>
      <c r="D25" s="100" t="s">
        <v>483</v>
      </c>
      <c r="E25" s="100" t="s">
        <v>34</v>
      </c>
      <c r="F25" s="100" t="s">
        <v>263</v>
      </c>
      <c r="G25" s="184" t="s">
        <v>556</v>
      </c>
      <c r="H25" s="187">
        <v>2022</v>
      </c>
      <c r="I25" s="199"/>
      <c r="J25" s="200"/>
    </row>
    <row r="26" spans="1:10" ht="30" x14ac:dyDescent="0.2">
      <c r="A26" s="100" t="s">
        <v>557</v>
      </c>
      <c r="B26" s="184" t="s">
        <v>558</v>
      </c>
      <c r="C26" s="184" t="s">
        <v>559</v>
      </c>
      <c r="D26" s="100" t="s">
        <v>483</v>
      </c>
      <c r="E26" s="100" t="s">
        <v>34</v>
      </c>
      <c r="F26" s="100" t="s">
        <v>35</v>
      </c>
      <c r="G26" s="184" t="s">
        <v>560</v>
      </c>
      <c r="H26" s="187">
        <v>2022</v>
      </c>
      <c r="I26" s="199"/>
      <c r="J26" s="200"/>
    </row>
    <row r="27" spans="1:10" ht="30" x14ac:dyDescent="0.2">
      <c r="A27" s="100" t="s">
        <v>561</v>
      </c>
      <c r="B27" s="184" t="s">
        <v>31</v>
      </c>
      <c r="C27" s="184" t="s">
        <v>562</v>
      </c>
      <c r="D27" s="100" t="s">
        <v>483</v>
      </c>
      <c r="E27" s="100" t="s">
        <v>34</v>
      </c>
      <c r="F27" s="100" t="s">
        <v>263</v>
      </c>
      <c r="G27" s="184" t="s">
        <v>563</v>
      </c>
      <c r="H27" s="187">
        <v>2023</v>
      </c>
      <c r="I27" s="199"/>
      <c r="J27" s="200"/>
    </row>
    <row r="28" spans="1:10" ht="30" x14ac:dyDescent="0.2">
      <c r="A28" s="100" t="s">
        <v>564</v>
      </c>
      <c r="B28" s="184" t="s">
        <v>31</v>
      </c>
      <c r="C28" s="184" t="s">
        <v>565</v>
      </c>
      <c r="D28" s="100" t="s">
        <v>483</v>
      </c>
      <c r="E28" s="100" t="s">
        <v>34</v>
      </c>
      <c r="F28" s="100" t="s">
        <v>263</v>
      </c>
      <c r="G28" s="184" t="s">
        <v>566</v>
      </c>
      <c r="H28" s="187">
        <v>2023</v>
      </c>
      <c r="I28" s="199"/>
      <c r="J28" s="200"/>
    </row>
    <row r="29" spans="1:10" ht="30" x14ac:dyDescent="0.2">
      <c r="A29" s="100" t="s">
        <v>567</v>
      </c>
      <c r="B29" s="184" t="s">
        <v>31</v>
      </c>
      <c r="C29" s="184" t="s">
        <v>568</v>
      </c>
      <c r="D29" s="100" t="s">
        <v>483</v>
      </c>
      <c r="E29" s="100" t="s">
        <v>34</v>
      </c>
      <c r="F29" s="100" t="s">
        <v>263</v>
      </c>
      <c r="G29" s="184" t="s">
        <v>569</v>
      </c>
      <c r="H29" s="187">
        <v>2023</v>
      </c>
      <c r="I29" s="199"/>
      <c r="J29" s="200"/>
    </row>
    <row r="30" spans="1:10" ht="45" x14ac:dyDescent="0.2">
      <c r="A30" s="100" t="s">
        <v>570</v>
      </c>
      <c r="B30" s="184" t="s">
        <v>31</v>
      </c>
      <c r="C30" s="184" t="s">
        <v>571</v>
      </c>
      <c r="D30" s="100" t="s">
        <v>483</v>
      </c>
      <c r="E30" s="100" t="s">
        <v>34</v>
      </c>
      <c r="F30" s="100" t="s">
        <v>283</v>
      </c>
      <c r="G30" s="184" t="s">
        <v>572</v>
      </c>
      <c r="H30" s="187">
        <v>2023</v>
      </c>
      <c r="I30" s="199"/>
      <c r="J30" s="200"/>
    </row>
    <row r="31" spans="1:10" ht="45" x14ac:dyDescent="0.2">
      <c r="A31" s="100" t="s">
        <v>573</v>
      </c>
      <c r="B31" s="184" t="s">
        <v>31</v>
      </c>
      <c r="C31" s="184" t="s">
        <v>574</v>
      </c>
      <c r="D31" s="100" t="s">
        <v>483</v>
      </c>
      <c r="E31" s="100" t="s">
        <v>34</v>
      </c>
      <c r="F31" s="100" t="s">
        <v>283</v>
      </c>
      <c r="G31" s="184" t="s">
        <v>575</v>
      </c>
      <c r="H31" s="187">
        <v>2023</v>
      </c>
      <c r="I31" s="199"/>
      <c r="J31" s="200"/>
    </row>
    <row r="32" spans="1:10" ht="30" x14ac:dyDescent="0.2">
      <c r="A32" s="100" t="s">
        <v>576</v>
      </c>
      <c r="B32" s="184" t="s">
        <v>31</v>
      </c>
      <c r="C32" s="184" t="s">
        <v>577</v>
      </c>
      <c r="D32" s="100" t="s">
        <v>483</v>
      </c>
      <c r="E32" s="100" t="s">
        <v>34</v>
      </c>
      <c r="F32" s="100" t="s">
        <v>263</v>
      </c>
      <c r="G32" s="184" t="s">
        <v>578</v>
      </c>
      <c r="H32" s="187">
        <v>2023</v>
      </c>
      <c r="I32" s="199"/>
      <c r="J32" s="200"/>
    </row>
    <row r="33" spans="1:10" ht="30" x14ac:dyDescent="0.2">
      <c r="A33" s="100" t="s">
        <v>579</v>
      </c>
      <c r="B33" s="184" t="s">
        <v>31</v>
      </c>
      <c r="C33" s="184" t="s">
        <v>580</v>
      </c>
      <c r="D33" s="100" t="s">
        <v>483</v>
      </c>
      <c r="E33" s="100" t="s">
        <v>34</v>
      </c>
      <c r="F33" s="100" t="s">
        <v>263</v>
      </c>
      <c r="G33" s="184" t="s">
        <v>581</v>
      </c>
      <c r="H33" s="187">
        <v>2023</v>
      </c>
      <c r="I33" s="199"/>
      <c r="J33" s="200"/>
    </row>
    <row r="34" spans="1:10" ht="30" x14ac:dyDescent="0.2">
      <c r="A34" s="100" t="s">
        <v>582</v>
      </c>
      <c r="B34" s="184" t="s">
        <v>31</v>
      </c>
      <c r="C34" s="184" t="s">
        <v>583</v>
      </c>
      <c r="D34" s="100" t="s">
        <v>483</v>
      </c>
      <c r="E34" s="100" t="s">
        <v>34</v>
      </c>
      <c r="F34" s="100" t="s">
        <v>263</v>
      </c>
      <c r="G34" s="184" t="s">
        <v>584</v>
      </c>
      <c r="H34" s="187">
        <v>2023</v>
      </c>
      <c r="I34" s="199"/>
      <c r="J34" s="200"/>
    </row>
    <row r="35" spans="1:10" ht="30" x14ac:dyDescent="0.2">
      <c r="A35" s="100" t="s">
        <v>585</v>
      </c>
      <c r="B35" s="184" t="s">
        <v>31</v>
      </c>
      <c r="C35" s="184" t="s">
        <v>586</v>
      </c>
      <c r="D35" s="100" t="s">
        <v>483</v>
      </c>
      <c r="E35" s="100" t="s">
        <v>34</v>
      </c>
      <c r="F35" s="100" t="s">
        <v>35</v>
      </c>
      <c r="G35" s="184" t="s">
        <v>587</v>
      </c>
      <c r="H35" s="187">
        <v>2023</v>
      </c>
      <c r="I35" s="199"/>
      <c r="J35" s="200"/>
    </row>
    <row r="36" spans="1:10" ht="30" x14ac:dyDescent="0.2">
      <c r="A36" s="100" t="s">
        <v>588</v>
      </c>
      <c r="B36" s="184" t="s">
        <v>31</v>
      </c>
      <c r="C36" s="184" t="s">
        <v>589</v>
      </c>
      <c r="D36" s="100" t="s">
        <v>483</v>
      </c>
      <c r="E36" s="100" t="s">
        <v>34</v>
      </c>
      <c r="F36" s="100" t="s">
        <v>35</v>
      </c>
      <c r="G36" s="184" t="s">
        <v>590</v>
      </c>
      <c r="H36" s="187">
        <v>2023</v>
      </c>
      <c r="I36" s="199"/>
      <c r="J36" s="200"/>
    </row>
    <row r="37" spans="1:10" ht="30" x14ac:dyDescent="0.2">
      <c r="A37" s="100" t="s">
        <v>591</v>
      </c>
      <c r="B37" s="184" t="s">
        <v>31</v>
      </c>
      <c r="C37" s="184" t="s">
        <v>592</v>
      </c>
      <c r="D37" s="100" t="s">
        <v>483</v>
      </c>
      <c r="E37" s="100" t="s">
        <v>34</v>
      </c>
      <c r="F37" s="100" t="s">
        <v>35</v>
      </c>
      <c r="G37" s="184" t="s">
        <v>593</v>
      </c>
      <c r="H37" s="187">
        <v>2023</v>
      </c>
      <c r="I37" s="199"/>
      <c r="J37" s="200"/>
    </row>
    <row r="38" spans="1:10" ht="30" x14ac:dyDescent="0.2">
      <c r="A38" s="100" t="s">
        <v>594</v>
      </c>
      <c r="B38" s="184" t="s">
        <v>31</v>
      </c>
      <c r="C38" s="184" t="s">
        <v>595</v>
      </c>
      <c r="D38" s="100" t="s">
        <v>483</v>
      </c>
      <c r="E38" s="100" t="s">
        <v>34</v>
      </c>
      <c r="F38" s="100" t="s">
        <v>35</v>
      </c>
      <c r="G38" s="184" t="s">
        <v>596</v>
      </c>
      <c r="H38" s="187">
        <v>2023</v>
      </c>
      <c r="I38" s="199"/>
      <c r="J38" s="200"/>
    </row>
    <row r="39" spans="1:10" ht="30" x14ac:dyDescent="0.2">
      <c r="A39" s="100" t="s">
        <v>597</v>
      </c>
      <c r="B39" s="184" t="s">
        <v>31</v>
      </c>
      <c r="C39" s="184" t="s">
        <v>598</v>
      </c>
      <c r="D39" s="100" t="s">
        <v>483</v>
      </c>
      <c r="E39" s="100" t="s">
        <v>34</v>
      </c>
      <c r="F39" s="100" t="s">
        <v>35</v>
      </c>
      <c r="G39" s="184" t="s">
        <v>599</v>
      </c>
      <c r="H39" s="187">
        <v>2023</v>
      </c>
      <c r="I39" s="199"/>
      <c r="J39" s="200"/>
    </row>
    <row r="40" spans="1:10" ht="30" x14ac:dyDescent="0.2">
      <c r="A40" s="100" t="s">
        <v>600</v>
      </c>
      <c r="B40" s="184" t="s">
        <v>31</v>
      </c>
      <c r="C40" s="184" t="s">
        <v>601</v>
      </c>
      <c r="D40" s="100" t="s">
        <v>483</v>
      </c>
      <c r="E40" s="100" t="s">
        <v>34</v>
      </c>
      <c r="F40" s="100" t="s">
        <v>35</v>
      </c>
      <c r="G40" s="184" t="s">
        <v>602</v>
      </c>
      <c r="H40" s="187">
        <v>2023</v>
      </c>
      <c r="I40" s="199"/>
      <c r="J40" s="200"/>
    </row>
    <row r="41" spans="1:10" ht="30" x14ac:dyDescent="0.2">
      <c r="A41" s="100" t="s">
        <v>603</v>
      </c>
      <c r="B41" s="184" t="s">
        <v>31</v>
      </c>
      <c r="C41" s="184" t="s">
        <v>604</v>
      </c>
      <c r="D41" s="100" t="s">
        <v>483</v>
      </c>
      <c r="E41" s="100" t="s">
        <v>34</v>
      </c>
      <c r="F41" s="100" t="s">
        <v>35</v>
      </c>
      <c r="G41" s="184" t="s">
        <v>605</v>
      </c>
      <c r="H41" s="187">
        <v>2023</v>
      </c>
      <c r="I41" s="199"/>
      <c r="J41" s="200"/>
    </row>
    <row r="42" spans="1:10" ht="30" x14ac:dyDescent="0.2">
      <c r="A42" s="100" t="s">
        <v>606</v>
      </c>
      <c r="B42" s="184" t="s">
        <v>31</v>
      </c>
      <c r="C42" s="184" t="s">
        <v>607</v>
      </c>
      <c r="D42" s="100" t="s">
        <v>483</v>
      </c>
      <c r="E42" s="100" t="s">
        <v>34</v>
      </c>
      <c r="F42" s="100" t="s">
        <v>263</v>
      </c>
      <c r="G42" s="184" t="s">
        <v>608</v>
      </c>
      <c r="H42" s="187">
        <v>2023</v>
      </c>
      <c r="I42" s="199"/>
      <c r="J42" s="200"/>
    </row>
    <row r="43" spans="1:10" ht="30" x14ac:dyDescent="0.2">
      <c r="A43" s="100" t="s">
        <v>609</v>
      </c>
      <c r="B43" s="184" t="s">
        <v>31</v>
      </c>
      <c r="C43" s="184" t="s">
        <v>610</v>
      </c>
      <c r="D43" s="100" t="s">
        <v>483</v>
      </c>
      <c r="E43" s="100" t="s">
        <v>34</v>
      </c>
      <c r="F43" s="100" t="s">
        <v>263</v>
      </c>
      <c r="G43" s="184" t="s">
        <v>611</v>
      </c>
      <c r="H43" s="187">
        <v>2023</v>
      </c>
      <c r="I43" s="199"/>
      <c r="J43" s="200"/>
    </row>
    <row r="44" spans="1:10" ht="30" x14ac:dyDescent="0.2">
      <c r="A44" s="100" t="s">
        <v>612</v>
      </c>
      <c r="B44" s="184" t="s">
        <v>31</v>
      </c>
      <c r="C44" s="184" t="s">
        <v>613</v>
      </c>
      <c r="D44" s="100" t="s">
        <v>483</v>
      </c>
      <c r="E44" s="100" t="s">
        <v>34</v>
      </c>
      <c r="F44" s="100" t="s">
        <v>263</v>
      </c>
      <c r="G44" s="184" t="s">
        <v>614</v>
      </c>
      <c r="H44" s="187">
        <v>2023</v>
      </c>
      <c r="I44" s="199"/>
      <c r="J44" s="200"/>
    </row>
    <row r="45" spans="1:10" ht="30" x14ac:dyDescent="0.2">
      <c r="A45" s="100" t="s">
        <v>615</v>
      </c>
      <c r="B45" s="184" t="s">
        <v>31</v>
      </c>
      <c r="C45" s="184" t="s">
        <v>616</v>
      </c>
      <c r="D45" s="100" t="s">
        <v>483</v>
      </c>
      <c r="E45" s="100" t="s">
        <v>34</v>
      </c>
      <c r="F45" s="100" t="s">
        <v>35</v>
      </c>
      <c r="G45" s="184" t="s">
        <v>617</v>
      </c>
      <c r="H45" s="187">
        <v>2023</v>
      </c>
      <c r="I45" s="199"/>
      <c r="J45" s="200"/>
    </row>
    <row r="46" spans="1:10" ht="30" x14ac:dyDescent="0.2">
      <c r="A46" s="100" t="s">
        <v>618</v>
      </c>
      <c r="B46" s="184" t="s">
        <v>31</v>
      </c>
      <c r="C46" s="184" t="s">
        <v>619</v>
      </c>
      <c r="D46" s="100" t="s">
        <v>483</v>
      </c>
      <c r="E46" s="100" t="s">
        <v>34</v>
      </c>
      <c r="F46" s="100" t="s">
        <v>263</v>
      </c>
      <c r="G46" s="184" t="s">
        <v>620</v>
      </c>
      <c r="H46" s="187">
        <v>2023</v>
      </c>
      <c r="I46" s="199"/>
      <c r="J46" s="200"/>
    </row>
    <row r="47" spans="1:10" ht="45" x14ac:dyDescent="0.2">
      <c r="A47" s="100" t="s">
        <v>621</v>
      </c>
      <c r="B47" s="184" t="s">
        <v>31</v>
      </c>
      <c r="C47" s="184" t="s">
        <v>622</v>
      </c>
      <c r="D47" s="100" t="s">
        <v>483</v>
      </c>
      <c r="E47" s="100" t="s">
        <v>34</v>
      </c>
      <c r="F47" s="100" t="s">
        <v>283</v>
      </c>
      <c r="G47" s="184" t="s">
        <v>623</v>
      </c>
      <c r="H47" s="187">
        <v>2023</v>
      </c>
      <c r="I47" s="199"/>
      <c r="J47" s="200"/>
    </row>
    <row r="48" spans="1:10" ht="30" x14ac:dyDescent="0.2">
      <c r="A48" s="100" t="s">
        <v>624</v>
      </c>
      <c r="B48" s="184" t="s">
        <v>31</v>
      </c>
      <c r="C48" s="184" t="s">
        <v>32</v>
      </c>
      <c r="D48" s="100" t="s">
        <v>483</v>
      </c>
      <c r="E48" s="100" t="s">
        <v>34</v>
      </c>
      <c r="F48" s="100" t="s">
        <v>263</v>
      </c>
      <c r="G48" s="184" t="s">
        <v>625</v>
      </c>
      <c r="H48" s="187">
        <v>2024</v>
      </c>
      <c r="I48" s="199"/>
      <c r="J48" s="200"/>
    </row>
    <row r="49" spans="1:10" ht="45" x14ac:dyDescent="0.2">
      <c r="A49" s="100" t="s">
        <v>626</v>
      </c>
      <c r="B49" s="184" t="s">
        <v>31</v>
      </c>
      <c r="C49" s="184" t="s">
        <v>32</v>
      </c>
      <c r="D49" s="100" t="s">
        <v>483</v>
      </c>
      <c r="E49" s="100" t="s">
        <v>34</v>
      </c>
      <c r="F49" s="100" t="s">
        <v>283</v>
      </c>
      <c r="G49" s="184" t="s">
        <v>627</v>
      </c>
      <c r="H49" s="187">
        <v>2024</v>
      </c>
      <c r="I49" s="199"/>
      <c r="J49" s="200"/>
    </row>
    <row r="50" spans="1:10" ht="30" x14ac:dyDescent="0.2">
      <c r="A50" s="100" t="s">
        <v>628</v>
      </c>
      <c r="B50" s="184" t="s">
        <v>31</v>
      </c>
      <c r="C50" s="184" t="s">
        <v>32</v>
      </c>
      <c r="D50" s="100" t="s">
        <v>483</v>
      </c>
      <c r="E50" s="100" t="s">
        <v>34</v>
      </c>
      <c r="F50" s="100" t="s">
        <v>35</v>
      </c>
      <c r="G50" s="184" t="s">
        <v>629</v>
      </c>
      <c r="H50" s="187">
        <v>2024</v>
      </c>
      <c r="I50" s="199"/>
      <c r="J50" s="200"/>
    </row>
    <row r="51" spans="1:10" ht="30" x14ac:dyDescent="0.2">
      <c r="A51" s="100" t="s">
        <v>630</v>
      </c>
      <c r="B51" s="184" t="s">
        <v>31</v>
      </c>
      <c r="C51" s="184" t="s">
        <v>32</v>
      </c>
      <c r="D51" s="100" t="s">
        <v>483</v>
      </c>
      <c r="E51" s="100" t="s">
        <v>34</v>
      </c>
      <c r="F51" s="100" t="s">
        <v>35</v>
      </c>
      <c r="G51" s="184" t="s">
        <v>631</v>
      </c>
      <c r="H51" s="187">
        <v>2024</v>
      </c>
      <c r="I51" s="199"/>
      <c r="J51" s="200"/>
    </row>
    <row r="52" spans="1:10" ht="30" x14ac:dyDescent="0.2">
      <c r="A52" s="100" t="s">
        <v>632</v>
      </c>
      <c r="B52" s="184" t="s">
        <v>31</v>
      </c>
      <c r="C52" s="184" t="s">
        <v>32</v>
      </c>
      <c r="D52" s="100" t="s">
        <v>483</v>
      </c>
      <c r="E52" s="100" t="s">
        <v>34</v>
      </c>
      <c r="F52" s="100" t="s">
        <v>35</v>
      </c>
      <c r="G52" s="184" t="s">
        <v>633</v>
      </c>
      <c r="H52" s="187">
        <v>2024</v>
      </c>
      <c r="I52" s="199"/>
      <c r="J52" s="200"/>
    </row>
    <row r="53" spans="1:10" ht="30" x14ac:dyDescent="0.2">
      <c r="A53" s="100" t="s">
        <v>634</v>
      </c>
      <c r="B53" s="184" t="s">
        <v>31</v>
      </c>
      <c r="C53" s="184" t="s">
        <v>32</v>
      </c>
      <c r="D53" s="100" t="s">
        <v>483</v>
      </c>
      <c r="E53" s="100" t="s">
        <v>34</v>
      </c>
      <c r="F53" s="100" t="s">
        <v>35</v>
      </c>
      <c r="G53" s="184" t="s">
        <v>635</v>
      </c>
      <c r="H53" s="187">
        <v>2024</v>
      </c>
      <c r="I53" s="199"/>
      <c r="J53" s="200"/>
    </row>
    <row r="54" spans="1:10" ht="30" x14ac:dyDescent="0.2">
      <c r="A54" s="100" t="s">
        <v>636</v>
      </c>
      <c r="B54" s="184" t="s">
        <v>31</v>
      </c>
      <c r="C54" s="184" t="s">
        <v>32</v>
      </c>
      <c r="D54" s="100" t="s">
        <v>483</v>
      </c>
      <c r="E54" s="100" t="s">
        <v>34</v>
      </c>
      <c r="F54" s="100" t="s">
        <v>263</v>
      </c>
      <c r="G54" s="184" t="s">
        <v>637</v>
      </c>
      <c r="H54" s="187">
        <v>2024</v>
      </c>
      <c r="I54" s="199"/>
      <c r="J54" s="200"/>
    </row>
    <row r="55" spans="1:10" ht="30" x14ac:dyDescent="0.2">
      <c r="A55" s="100" t="s">
        <v>638</v>
      </c>
      <c r="B55" s="184" t="s">
        <v>31</v>
      </c>
      <c r="C55" s="184" t="s">
        <v>32</v>
      </c>
      <c r="D55" s="100" t="s">
        <v>483</v>
      </c>
      <c r="E55" s="100" t="s">
        <v>34</v>
      </c>
      <c r="F55" s="100" t="s">
        <v>35</v>
      </c>
      <c r="G55" s="184" t="s">
        <v>639</v>
      </c>
      <c r="H55" s="187">
        <v>2024</v>
      </c>
      <c r="I55" s="199"/>
      <c r="J55" s="200"/>
    </row>
    <row r="56" spans="1:10" ht="30" x14ac:dyDescent="0.2">
      <c r="A56" s="100" t="s">
        <v>640</v>
      </c>
      <c r="B56" s="184" t="s">
        <v>31</v>
      </c>
      <c r="C56" s="184" t="s">
        <v>32</v>
      </c>
      <c r="D56" s="100" t="s">
        <v>483</v>
      </c>
      <c r="E56" s="100" t="s">
        <v>34</v>
      </c>
      <c r="F56" s="100" t="s">
        <v>35</v>
      </c>
      <c r="G56" s="184" t="s">
        <v>641</v>
      </c>
      <c r="H56" s="187">
        <v>2024</v>
      </c>
      <c r="I56" s="199"/>
      <c r="J56" s="200"/>
    </row>
    <row r="57" spans="1:10" ht="30" x14ac:dyDescent="0.2">
      <c r="A57" s="100" t="s">
        <v>642</v>
      </c>
      <c r="B57" s="184" t="s">
        <v>31</v>
      </c>
      <c r="C57" s="184" t="s">
        <v>32</v>
      </c>
      <c r="D57" s="100" t="s">
        <v>483</v>
      </c>
      <c r="E57" s="100" t="s">
        <v>34</v>
      </c>
      <c r="F57" s="100" t="s">
        <v>35</v>
      </c>
      <c r="G57" s="184" t="s">
        <v>643</v>
      </c>
      <c r="H57" s="187">
        <v>2024</v>
      </c>
      <c r="I57" s="199"/>
      <c r="J57" s="200"/>
    </row>
    <row r="58" spans="1:10" ht="30" x14ac:dyDescent="0.2">
      <c r="A58" s="100" t="s">
        <v>644</v>
      </c>
      <c r="B58" s="184" t="s">
        <v>31</v>
      </c>
      <c r="C58" s="184" t="s">
        <v>32</v>
      </c>
      <c r="D58" s="100" t="s">
        <v>483</v>
      </c>
      <c r="E58" s="100" t="s">
        <v>34</v>
      </c>
      <c r="F58" s="100" t="s">
        <v>35</v>
      </c>
      <c r="G58" s="184" t="s">
        <v>645</v>
      </c>
      <c r="H58" s="187">
        <v>2024</v>
      </c>
      <c r="I58" s="199"/>
      <c r="J58" s="200"/>
    </row>
    <row r="59" spans="1:10" ht="30" x14ac:dyDescent="0.2">
      <c r="A59" s="100" t="s">
        <v>646</v>
      </c>
      <c r="B59" s="184" t="s">
        <v>31</v>
      </c>
      <c r="C59" s="184" t="s">
        <v>32</v>
      </c>
      <c r="D59" s="100" t="s">
        <v>483</v>
      </c>
      <c r="E59" s="100" t="s">
        <v>34</v>
      </c>
      <c r="F59" s="100" t="s">
        <v>283</v>
      </c>
      <c r="G59" s="184" t="s">
        <v>647</v>
      </c>
      <c r="H59" s="187">
        <v>2024</v>
      </c>
      <c r="I59" s="199"/>
      <c r="J59" s="200"/>
    </row>
    <row r="60" spans="1:10" ht="45" x14ac:dyDescent="0.2">
      <c r="A60" s="100" t="s">
        <v>648</v>
      </c>
      <c r="B60" s="184" t="s">
        <v>31</v>
      </c>
      <c r="C60" s="184" t="s">
        <v>32</v>
      </c>
      <c r="D60" s="100" t="s">
        <v>483</v>
      </c>
      <c r="E60" s="100" t="s">
        <v>34</v>
      </c>
      <c r="F60" s="100" t="s">
        <v>84</v>
      </c>
      <c r="G60" s="184" t="s">
        <v>649</v>
      </c>
      <c r="H60" s="187">
        <v>2025</v>
      </c>
      <c r="I60" s="199"/>
      <c r="J60" s="200"/>
    </row>
    <row r="61" spans="1:10" ht="45" x14ac:dyDescent="0.2">
      <c r="A61" s="100" t="s">
        <v>650</v>
      </c>
      <c r="B61" s="184" t="s">
        <v>31</v>
      </c>
      <c r="C61" s="184" t="s">
        <v>32</v>
      </c>
      <c r="D61" s="100" t="s">
        <v>483</v>
      </c>
      <c r="E61" s="100" t="s">
        <v>34</v>
      </c>
      <c r="F61" s="100" t="s">
        <v>651</v>
      </c>
      <c r="G61" s="184" t="s">
        <v>652</v>
      </c>
      <c r="H61" s="187">
        <v>2025</v>
      </c>
      <c r="I61" s="199"/>
      <c r="J61" s="200"/>
    </row>
    <row r="62" spans="1:10" ht="45" x14ac:dyDescent="0.2">
      <c r="A62" s="100" t="s">
        <v>653</v>
      </c>
      <c r="B62" s="184" t="s">
        <v>31</v>
      </c>
      <c r="C62" s="184" t="s">
        <v>32</v>
      </c>
      <c r="D62" s="100" t="s">
        <v>483</v>
      </c>
      <c r="E62" s="100" t="s">
        <v>34</v>
      </c>
      <c r="F62" s="100" t="s">
        <v>283</v>
      </c>
      <c r="G62" s="184" t="s">
        <v>654</v>
      </c>
      <c r="H62" s="187">
        <v>2025</v>
      </c>
      <c r="I62" s="199"/>
      <c r="J62" s="200"/>
    </row>
    <row r="63" spans="1:10" ht="45" x14ac:dyDescent="0.2">
      <c r="A63" s="100" t="s">
        <v>655</v>
      </c>
      <c r="B63" s="184" t="s">
        <v>31</v>
      </c>
      <c r="C63" s="184" t="s">
        <v>32</v>
      </c>
      <c r="D63" s="100" t="s">
        <v>483</v>
      </c>
      <c r="E63" s="100" t="s">
        <v>34</v>
      </c>
      <c r="F63" s="100" t="s">
        <v>188</v>
      </c>
      <c r="G63" s="184" t="s">
        <v>656</v>
      </c>
      <c r="H63" s="187">
        <v>2025</v>
      </c>
      <c r="I63" s="199"/>
      <c r="J63" s="200"/>
    </row>
    <row r="64" spans="1:10" ht="45" x14ac:dyDescent="0.2">
      <c r="A64" s="100" t="s">
        <v>657</v>
      </c>
      <c r="B64" s="184" t="s">
        <v>31</v>
      </c>
      <c r="C64" s="184" t="s">
        <v>32</v>
      </c>
      <c r="D64" s="100" t="s">
        <v>483</v>
      </c>
      <c r="E64" s="100" t="s">
        <v>34</v>
      </c>
      <c r="F64" s="100" t="s">
        <v>184</v>
      </c>
      <c r="G64" s="184" t="s">
        <v>658</v>
      </c>
      <c r="H64" s="187">
        <v>2025</v>
      </c>
      <c r="I64" s="199"/>
      <c r="J64" s="200"/>
    </row>
    <row r="65" spans="1:10" ht="45" x14ac:dyDescent="0.2">
      <c r="A65" s="100" t="s">
        <v>659</v>
      </c>
      <c r="B65" s="184" t="s">
        <v>31</v>
      </c>
      <c r="C65" s="184" t="s">
        <v>32</v>
      </c>
      <c r="D65" s="100" t="s">
        <v>483</v>
      </c>
      <c r="E65" s="100" t="s">
        <v>34</v>
      </c>
      <c r="F65" s="100" t="s">
        <v>184</v>
      </c>
      <c r="G65" s="184" t="s">
        <v>660</v>
      </c>
      <c r="H65" s="187">
        <v>2025</v>
      </c>
      <c r="I65" s="199"/>
      <c r="J65" s="200"/>
    </row>
    <row r="66" spans="1:10" ht="45" x14ac:dyDescent="0.2">
      <c r="A66" s="100" t="s">
        <v>661</v>
      </c>
      <c r="B66" s="184" t="s">
        <v>31</v>
      </c>
      <c r="C66" s="184" t="s">
        <v>32</v>
      </c>
      <c r="D66" s="100" t="s">
        <v>483</v>
      </c>
      <c r="E66" s="100" t="s">
        <v>34</v>
      </c>
      <c r="F66" s="100" t="s">
        <v>263</v>
      </c>
      <c r="G66" s="184" t="s">
        <v>662</v>
      </c>
      <c r="H66" s="187">
        <v>2025</v>
      </c>
      <c r="I66" s="199"/>
      <c r="J66" s="200"/>
    </row>
    <row r="67" spans="1:10" ht="45" x14ac:dyDescent="0.2">
      <c r="A67" s="100" t="s">
        <v>663</v>
      </c>
      <c r="B67" s="184" t="s">
        <v>31</v>
      </c>
      <c r="C67" s="184" t="s">
        <v>32</v>
      </c>
      <c r="D67" s="100" t="s">
        <v>483</v>
      </c>
      <c r="E67" s="100" t="s">
        <v>34</v>
      </c>
      <c r="F67" s="100" t="s">
        <v>450</v>
      </c>
      <c r="G67" s="184" t="s">
        <v>664</v>
      </c>
      <c r="H67" s="187">
        <v>2025</v>
      </c>
      <c r="I67" s="199"/>
      <c r="J67" s="200"/>
    </row>
    <row r="68" spans="1:10" ht="45" x14ac:dyDescent="0.2">
      <c r="A68" s="100" t="s">
        <v>665</v>
      </c>
      <c r="B68" s="184" t="s">
        <v>31</v>
      </c>
      <c r="C68" s="184" t="s">
        <v>32</v>
      </c>
      <c r="D68" s="100" t="s">
        <v>483</v>
      </c>
      <c r="E68" s="100" t="s">
        <v>34</v>
      </c>
      <c r="F68" s="100" t="s">
        <v>459</v>
      </c>
      <c r="G68" s="184" t="s">
        <v>666</v>
      </c>
      <c r="H68" s="187">
        <v>2025</v>
      </c>
      <c r="I68" s="199"/>
      <c r="J68" s="200"/>
    </row>
    <row r="69" spans="1:10" ht="45" x14ac:dyDescent="0.2">
      <c r="A69" s="100" t="s">
        <v>667</v>
      </c>
      <c r="B69" s="184" t="s">
        <v>31</v>
      </c>
      <c r="C69" s="184" t="s">
        <v>32</v>
      </c>
      <c r="D69" s="100" t="s">
        <v>483</v>
      </c>
      <c r="E69" s="100" t="s">
        <v>34</v>
      </c>
      <c r="F69" s="100" t="s">
        <v>102</v>
      </c>
      <c r="G69" s="184" t="s">
        <v>668</v>
      </c>
      <c r="H69" s="187">
        <v>2025</v>
      </c>
      <c r="I69" s="199"/>
      <c r="J69" s="200"/>
    </row>
    <row r="70" spans="1:10" ht="45" x14ac:dyDescent="0.2">
      <c r="A70" s="100" t="s">
        <v>669</v>
      </c>
      <c r="B70" s="184" t="s">
        <v>31</v>
      </c>
      <c r="C70" s="184" t="s">
        <v>32</v>
      </c>
      <c r="D70" s="100" t="s">
        <v>483</v>
      </c>
      <c r="E70" s="100" t="s">
        <v>34</v>
      </c>
      <c r="F70" s="100" t="s">
        <v>35</v>
      </c>
      <c r="G70" s="184" t="s">
        <v>670</v>
      </c>
      <c r="H70" s="187">
        <v>2025</v>
      </c>
      <c r="I70" s="199"/>
      <c r="J70" s="200"/>
    </row>
  </sheetData>
  <sheetProtection formatCells="0" formatColumns="0" formatRows="0" selectLockedCells="1" sort="0" autoFilter="0" pivotTables="0"/>
  <sortState xmlns:xlrd2="http://schemas.microsoft.com/office/spreadsheetml/2017/richdata2" ref="A7:J70">
    <sortCondition ref="H7:H70"/>
    <sortCondition ref="D7:D70"/>
  </sortState>
  <mergeCells count="2">
    <mergeCell ref="A1:J1"/>
    <mergeCell ref="A2:J2"/>
  </mergeCells>
  <printOptions horizontalCentered="1"/>
  <pageMargins left="0.75" right="0.75" top="1" bottom="1" header="0.5" footer="0.5"/>
  <pageSetup scale="64" fitToHeight="0" orientation="landscape" r:id="rId1"/>
  <headerFooter scaleWithDoc="0">
    <oddHeader>&amp;RPetitioner's Exhibit No. 2
Attachment  &amp;A
CEI South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D71B4-6C19-4686-B46E-4EE0B487606A}">
  <sheetPr codeName="Sheet6">
    <pageSetUpPr fitToPage="1"/>
  </sheetPr>
  <dimension ref="A1:J122"/>
  <sheetViews>
    <sheetView view="pageBreakPreview" zoomScaleNormal="60" zoomScaleSheetLayoutView="100" zoomScalePageLayoutView="80" workbookViewId="0">
      <pane ySplit="6" topLeftCell="A7" activePane="bottomLeft" state="frozen"/>
      <selection pane="bottomLeft" activeCell="A7" sqref="A7"/>
    </sheetView>
  </sheetViews>
  <sheetFormatPr defaultColWidth="9.140625" defaultRowHeight="12.75" x14ac:dyDescent="0.2"/>
  <cols>
    <col min="1" max="1" width="14.85546875" style="22" customWidth="1"/>
    <col min="2" max="2" width="20.140625" style="77" bestFit="1" customWidth="1"/>
    <col min="3" max="3" width="20" style="77" bestFit="1" customWidth="1"/>
    <col min="4" max="4" width="26.85546875" style="23" bestFit="1" customWidth="1"/>
    <col min="5" max="5" width="13.42578125" style="77" bestFit="1" customWidth="1"/>
    <col min="6" max="6" width="14.7109375" style="77" customWidth="1"/>
    <col min="7" max="7" width="25" style="77" customWidth="1"/>
    <col min="8" max="8" width="13.42578125" style="78" bestFit="1" customWidth="1"/>
    <col min="9" max="9" width="17.5703125" style="23" customWidth="1"/>
    <col min="10" max="10" width="11.5703125" style="23" customWidth="1"/>
    <col min="11" max="16384" width="9.140625" style="22"/>
  </cols>
  <sheetData>
    <row r="1" spans="1:10" s="1" customFormat="1" ht="18" customHeight="1" x14ac:dyDescent="0.25">
      <c r="A1" s="214" t="s">
        <v>2</v>
      </c>
      <c r="B1" s="214"/>
      <c r="C1" s="214"/>
      <c r="D1" s="214"/>
      <c r="E1" s="214"/>
      <c r="F1" s="214"/>
      <c r="G1" s="214"/>
      <c r="H1" s="214"/>
      <c r="I1" s="214"/>
      <c r="J1" s="214"/>
    </row>
    <row r="2" spans="1:10" s="1" customFormat="1" ht="18" x14ac:dyDescent="0.25">
      <c r="A2" s="214" t="s">
        <v>671</v>
      </c>
      <c r="B2" s="214"/>
      <c r="C2" s="214"/>
      <c r="D2" s="214"/>
      <c r="E2" s="214"/>
      <c r="F2" s="214"/>
      <c r="G2" s="214"/>
      <c r="H2" s="214"/>
      <c r="I2" s="214"/>
      <c r="J2" s="214"/>
    </row>
    <row r="3" spans="1:10" s="1" customFormat="1" ht="15" customHeight="1" x14ac:dyDescent="0.2">
      <c r="A3" s="2"/>
      <c r="B3" s="3"/>
      <c r="C3" s="44"/>
      <c r="D3" s="44"/>
      <c r="E3" s="44"/>
      <c r="F3" s="44"/>
      <c r="G3" s="44"/>
      <c r="H3" s="72"/>
      <c r="I3" s="53"/>
      <c r="J3" s="53"/>
    </row>
    <row r="4" spans="1:10" s="1" customFormat="1" ht="15" customHeight="1" x14ac:dyDescent="0.25">
      <c r="A4" s="16"/>
      <c r="B4" s="11"/>
      <c r="C4" s="73"/>
      <c r="D4" s="73"/>
      <c r="E4" s="73"/>
      <c r="F4" s="73"/>
      <c r="G4" s="73"/>
      <c r="H4" s="74"/>
      <c r="I4" s="57"/>
      <c r="J4" s="57"/>
    </row>
    <row r="5" spans="1:10" s="75" customFormat="1" ht="15" customHeight="1" x14ac:dyDescent="0.2">
      <c r="A5" s="16"/>
      <c r="B5" s="17"/>
      <c r="H5" s="76"/>
      <c r="I5" s="57"/>
      <c r="J5" s="57"/>
    </row>
    <row r="6" spans="1:10" s="25" customFormat="1" ht="38.25" x14ac:dyDescent="0.2">
      <c r="A6" s="79" t="s">
        <v>20</v>
      </c>
      <c r="B6" s="79" t="s">
        <v>21</v>
      </c>
      <c r="C6" s="79" t="s">
        <v>22</v>
      </c>
      <c r="D6" s="79" t="s">
        <v>23</v>
      </c>
      <c r="E6" s="79" t="s">
        <v>24</v>
      </c>
      <c r="F6" s="79" t="s">
        <v>25</v>
      </c>
      <c r="G6" s="79" t="s">
        <v>26</v>
      </c>
      <c r="H6" s="79" t="s">
        <v>27</v>
      </c>
      <c r="I6" s="79" t="s">
        <v>28</v>
      </c>
      <c r="J6" s="80" t="s">
        <v>29</v>
      </c>
    </row>
    <row r="7" spans="1:10" ht="30" x14ac:dyDescent="0.2">
      <c r="A7" s="100" t="s">
        <v>672</v>
      </c>
      <c r="B7" s="184" t="s">
        <v>31</v>
      </c>
      <c r="C7" s="184" t="s">
        <v>32</v>
      </c>
      <c r="D7" s="100" t="s">
        <v>673</v>
      </c>
      <c r="E7" s="100" t="s">
        <v>34</v>
      </c>
      <c r="F7" s="100" t="s">
        <v>64</v>
      </c>
      <c r="G7" s="184" t="s">
        <v>674</v>
      </c>
      <c r="H7" s="187">
        <v>2022</v>
      </c>
      <c r="I7" s="199"/>
      <c r="J7" s="200"/>
    </row>
    <row r="8" spans="1:10" ht="30" x14ac:dyDescent="0.2">
      <c r="A8" s="100" t="s">
        <v>675</v>
      </c>
      <c r="B8" s="184" t="s">
        <v>31</v>
      </c>
      <c r="C8" s="184" t="s">
        <v>32</v>
      </c>
      <c r="D8" s="100" t="s">
        <v>673</v>
      </c>
      <c r="E8" s="100" t="s">
        <v>34</v>
      </c>
      <c r="F8" s="100" t="s">
        <v>64</v>
      </c>
      <c r="G8" s="184" t="s">
        <v>676</v>
      </c>
      <c r="H8" s="187">
        <v>2022</v>
      </c>
      <c r="I8" s="199"/>
      <c r="J8" s="200"/>
    </row>
    <row r="9" spans="1:10" ht="30" x14ac:dyDescent="0.2">
      <c r="A9" s="100" t="s">
        <v>677</v>
      </c>
      <c r="B9" s="184" t="s">
        <v>31</v>
      </c>
      <c r="C9" s="184" t="s">
        <v>32</v>
      </c>
      <c r="D9" s="100" t="s">
        <v>673</v>
      </c>
      <c r="E9" s="100" t="s">
        <v>34</v>
      </c>
      <c r="F9" s="100" t="s">
        <v>64</v>
      </c>
      <c r="G9" s="184" t="s">
        <v>678</v>
      </c>
      <c r="H9" s="187">
        <v>2022</v>
      </c>
      <c r="I9" s="199"/>
      <c r="J9" s="200"/>
    </row>
    <row r="10" spans="1:10" ht="30" x14ac:dyDescent="0.2">
      <c r="A10" s="100" t="s">
        <v>679</v>
      </c>
      <c r="B10" s="184" t="s">
        <v>31</v>
      </c>
      <c r="C10" s="184" t="s">
        <v>32</v>
      </c>
      <c r="D10" s="100" t="s">
        <v>673</v>
      </c>
      <c r="E10" s="100" t="s">
        <v>34</v>
      </c>
      <c r="F10" s="100" t="s">
        <v>680</v>
      </c>
      <c r="G10" s="184" t="s">
        <v>681</v>
      </c>
      <c r="H10" s="187">
        <v>2022</v>
      </c>
      <c r="I10" s="199"/>
      <c r="J10" s="200"/>
    </row>
    <row r="11" spans="1:10" ht="30" x14ac:dyDescent="0.2">
      <c r="A11" s="100" t="s">
        <v>682</v>
      </c>
      <c r="B11" s="184" t="s">
        <v>31</v>
      </c>
      <c r="C11" s="184" t="s">
        <v>32</v>
      </c>
      <c r="D11" s="100" t="s">
        <v>673</v>
      </c>
      <c r="E11" s="100" t="s">
        <v>34</v>
      </c>
      <c r="F11" s="100" t="s">
        <v>683</v>
      </c>
      <c r="G11" s="184" t="s">
        <v>684</v>
      </c>
      <c r="H11" s="187">
        <v>2022</v>
      </c>
      <c r="I11" s="199"/>
      <c r="J11" s="200"/>
    </row>
    <row r="12" spans="1:10" ht="30" x14ac:dyDescent="0.2">
      <c r="A12" s="100" t="s">
        <v>685</v>
      </c>
      <c r="B12" s="184" t="s">
        <v>31</v>
      </c>
      <c r="C12" s="184" t="s">
        <v>32</v>
      </c>
      <c r="D12" s="100" t="s">
        <v>673</v>
      </c>
      <c r="E12" s="100" t="s">
        <v>34</v>
      </c>
      <c r="F12" s="100" t="s">
        <v>64</v>
      </c>
      <c r="G12" s="184" t="s">
        <v>686</v>
      </c>
      <c r="H12" s="187">
        <v>2022</v>
      </c>
      <c r="I12" s="199"/>
      <c r="J12" s="200"/>
    </row>
    <row r="13" spans="1:10" ht="30" x14ac:dyDescent="0.2">
      <c r="A13" s="100" t="s">
        <v>687</v>
      </c>
      <c r="B13" s="184" t="s">
        <v>31</v>
      </c>
      <c r="C13" s="184" t="s">
        <v>32</v>
      </c>
      <c r="D13" s="100" t="s">
        <v>673</v>
      </c>
      <c r="E13" s="100" t="s">
        <v>34</v>
      </c>
      <c r="F13" s="100" t="s">
        <v>64</v>
      </c>
      <c r="G13" s="184" t="s">
        <v>688</v>
      </c>
      <c r="H13" s="187">
        <v>2022</v>
      </c>
      <c r="I13" s="199"/>
      <c r="J13" s="200"/>
    </row>
    <row r="14" spans="1:10" ht="30" x14ac:dyDescent="0.2">
      <c r="A14" s="100" t="s">
        <v>689</v>
      </c>
      <c r="B14" s="184" t="s">
        <v>31</v>
      </c>
      <c r="C14" s="184" t="s">
        <v>32</v>
      </c>
      <c r="D14" s="100" t="s">
        <v>673</v>
      </c>
      <c r="E14" s="100" t="s">
        <v>34</v>
      </c>
      <c r="F14" s="100" t="s">
        <v>683</v>
      </c>
      <c r="G14" s="184" t="s">
        <v>690</v>
      </c>
      <c r="H14" s="187">
        <v>2022</v>
      </c>
      <c r="I14" s="199"/>
      <c r="J14" s="200"/>
    </row>
    <row r="15" spans="1:10" ht="30" x14ac:dyDescent="0.2">
      <c r="A15" s="100" t="s">
        <v>691</v>
      </c>
      <c r="B15" s="184" t="s">
        <v>31</v>
      </c>
      <c r="C15" s="184" t="s">
        <v>32</v>
      </c>
      <c r="D15" s="100" t="s">
        <v>673</v>
      </c>
      <c r="E15" s="100" t="s">
        <v>34</v>
      </c>
      <c r="F15" s="100" t="s">
        <v>683</v>
      </c>
      <c r="G15" s="184" t="s">
        <v>692</v>
      </c>
      <c r="H15" s="187">
        <v>2022</v>
      </c>
      <c r="I15" s="199"/>
      <c r="J15" s="200"/>
    </row>
    <row r="16" spans="1:10" ht="75" x14ac:dyDescent="0.2">
      <c r="A16" s="100" t="s">
        <v>693</v>
      </c>
      <c r="B16" s="184" t="s">
        <v>31</v>
      </c>
      <c r="C16" s="184" t="s">
        <v>32</v>
      </c>
      <c r="D16" s="100" t="s">
        <v>673</v>
      </c>
      <c r="E16" s="100" t="s">
        <v>34</v>
      </c>
      <c r="F16" s="100" t="s">
        <v>694</v>
      </c>
      <c r="G16" s="184" t="s">
        <v>695</v>
      </c>
      <c r="H16" s="187">
        <v>2022</v>
      </c>
      <c r="I16" s="199"/>
      <c r="J16" s="200"/>
    </row>
    <row r="17" spans="1:10" ht="30" x14ac:dyDescent="0.2">
      <c r="A17" s="100" t="s">
        <v>696</v>
      </c>
      <c r="B17" s="184" t="s">
        <v>31</v>
      </c>
      <c r="C17" s="184" t="s">
        <v>32</v>
      </c>
      <c r="D17" s="100" t="s">
        <v>673</v>
      </c>
      <c r="E17" s="100" t="s">
        <v>34</v>
      </c>
      <c r="F17" s="100" t="s">
        <v>680</v>
      </c>
      <c r="G17" s="184" t="s">
        <v>697</v>
      </c>
      <c r="H17" s="187">
        <v>2022</v>
      </c>
      <c r="I17" s="199"/>
      <c r="J17" s="200"/>
    </row>
    <row r="18" spans="1:10" ht="30" x14ac:dyDescent="0.2">
      <c r="A18" s="100" t="s">
        <v>698</v>
      </c>
      <c r="B18" s="184" t="s">
        <v>31</v>
      </c>
      <c r="C18" s="184" t="s">
        <v>32</v>
      </c>
      <c r="D18" s="100" t="s">
        <v>673</v>
      </c>
      <c r="E18" s="100" t="s">
        <v>34</v>
      </c>
      <c r="F18" s="100" t="s">
        <v>680</v>
      </c>
      <c r="G18" s="184" t="s">
        <v>699</v>
      </c>
      <c r="H18" s="187">
        <v>2022</v>
      </c>
      <c r="I18" s="199"/>
      <c r="J18" s="200"/>
    </row>
    <row r="19" spans="1:10" ht="30" x14ac:dyDescent="0.2">
      <c r="A19" s="100" t="s">
        <v>700</v>
      </c>
      <c r="B19" s="184" t="s">
        <v>31</v>
      </c>
      <c r="C19" s="184" t="s">
        <v>32</v>
      </c>
      <c r="D19" s="100" t="s">
        <v>673</v>
      </c>
      <c r="E19" s="100" t="s">
        <v>34</v>
      </c>
      <c r="F19" s="100" t="s">
        <v>680</v>
      </c>
      <c r="G19" s="184" t="s">
        <v>701</v>
      </c>
      <c r="H19" s="187">
        <v>2022</v>
      </c>
      <c r="I19" s="199"/>
      <c r="J19" s="200"/>
    </row>
    <row r="20" spans="1:10" ht="30" x14ac:dyDescent="0.2">
      <c r="A20" s="100" t="s">
        <v>702</v>
      </c>
      <c r="B20" s="184" t="s">
        <v>31</v>
      </c>
      <c r="C20" s="184" t="s">
        <v>32</v>
      </c>
      <c r="D20" s="100" t="s">
        <v>673</v>
      </c>
      <c r="E20" s="100" t="s">
        <v>34</v>
      </c>
      <c r="F20" s="100" t="s">
        <v>64</v>
      </c>
      <c r="G20" s="184" t="s">
        <v>703</v>
      </c>
      <c r="H20" s="187">
        <v>2022</v>
      </c>
      <c r="I20" s="199"/>
      <c r="J20" s="200"/>
    </row>
    <row r="21" spans="1:10" ht="30" x14ac:dyDescent="0.2">
      <c r="A21" s="100" t="s">
        <v>704</v>
      </c>
      <c r="B21" s="184" t="s">
        <v>31</v>
      </c>
      <c r="C21" s="184" t="s">
        <v>32</v>
      </c>
      <c r="D21" s="100" t="s">
        <v>673</v>
      </c>
      <c r="E21" s="100" t="s">
        <v>34</v>
      </c>
      <c r="F21" s="100" t="s">
        <v>64</v>
      </c>
      <c r="G21" s="184" t="s">
        <v>705</v>
      </c>
      <c r="H21" s="187">
        <v>2022</v>
      </c>
      <c r="I21" s="199"/>
      <c r="J21" s="200"/>
    </row>
    <row r="22" spans="1:10" ht="30" x14ac:dyDescent="0.2">
      <c r="A22" s="100" t="s">
        <v>706</v>
      </c>
      <c r="B22" s="184" t="s">
        <v>31</v>
      </c>
      <c r="C22" s="184" t="s">
        <v>32</v>
      </c>
      <c r="D22" s="100" t="s">
        <v>673</v>
      </c>
      <c r="E22" s="100" t="s">
        <v>34</v>
      </c>
      <c r="F22" s="100" t="s">
        <v>680</v>
      </c>
      <c r="G22" s="184" t="s">
        <v>707</v>
      </c>
      <c r="H22" s="187">
        <v>2022</v>
      </c>
      <c r="I22" s="199"/>
      <c r="J22" s="200"/>
    </row>
    <row r="23" spans="1:10" ht="30" x14ac:dyDescent="0.2">
      <c r="A23" s="100" t="s">
        <v>708</v>
      </c>
      <c r="B23" s="184" t="s">
        <v>31</v>
      </c>
      <c r="C23" s="184" t="s">
        <v>32</v>
      </c>
      <c r="D23" s="100" t="s">
        <v>673</v>
      </c>
      <c r="E23" s="100" t="s">
        <v>34</v>
      </c>
      <c r="F23" s="100" t="s">
        <v>64</v>
      </c>
      <c r="G23" s="184" t="s">
        <v>709</v>
      </c>
      <c r="H23" s="187">
        <v>2022</v>
      </c>
      <c r="I23" s="199"/>
      <c r="J23" s="200"/>
    </row>
    <row r="24" spans="1:10" ht="30" x14ac:dyDescent="0.2">
      <c r="A24" s="100" t="s">
        <v>710</v>
      </c>
      <c r="B24" s="184" t="s">
        <v>31</v>
      </c>
      <c r="C24" s="184" t="s">
        <v>32</v>
      </c>
      <c r="D24" s="100" t="s">
        <v>673</v>
      </c>
      <c r="E24" s="100" t="s">
        <v>34</v>
      </c>
      <c r="F24" s="100" t="s">
        <v>680</v>
      </c>
      <c r="G24" s="184" t="s">
        <v>711</v>
      </c>
      <c r="H24" s="187">
        <v>2022</v>
      </c>
      <c r="I24" s="199"/>
      <c r="J24" s="200"/>
    </row>
    <row r="25" spans="1:10" ht="30" x14ac:dyDescent="0.2">
      <c r="A25" s="100" t="s">
        <v>712</v>
      </c>
      <c r="B25" s="184" t="s">
        <v>31</v>
      </c>
      <c r="C25" s="184" t="s">
        <v>32</v>
      </c>
      <c r="D25" s="100" t="s">
        <v>673</v>
      </c>
      <c r="E25" s="100" t="s">
        <v>34</v>
      </c>
      <c r="F25" s="100" t="s">
        <v>680</v>
      </c>
      <c r="G25" s="184" t="s">
        <v>713</v>
      </c>
      <c r="H25" s="187">
        <v>2022</v>
      </c>
      <c r="I25" s="199"/>
      <c r="J25" s="200"/>
    </row>
    <row r="26" spans="1:10" ht="45" x14ac:dyDescent="0.2">
      <c r="A26" s="100" t="s">
        <v>714</v>
      </c>
      <c r="B26" s="184" t="s">
        <v>31</v>
      </c>
      <c r="C26" s="184" t="s">
        <v>32</v>
      </c>
      <c r="D26" s="100" t="s">
        <v>715</v>
      </c>
      <c r="E26" s="100" t="s">
        <v>34</v>
      </c>
      <c r="F26" s="100" t="s">
        <v>64</v>
      </c>
      <c r="G26" s="184" t="s">
        <v>716</v>
      </c>
      <c r="H26" s="187">
        <v>2022</v>
      </c>
      <c r="I26" s="199"/>
      <c r="J26" s="200"/>
    </row>
    <row r="27" spans="1:10" ht="45" x14ac:dyDescent="0.2">
      <c r="A27" s="100" t="s">
        <v>717</v>
      </c>
      <c r="B27" s="184" t="s">
        <v>31</v>
      </c>
      <c r="C27" s="184" t="s">
        <v>32</v>
      </c>
      <c r="D27" s="100" t="s">
        <v>715</v>
      </c>
      <c r="E27" s="100" t="s">
        <v>34</v>
      </c>
      <c r="F27" s="100" t="s">
        <v>64</v>
      </c>
      <c r="G27" s="184" t="s">
        <v>718</v>
      </c>
      <c r="H27" s="187">
        <v>2022</v>
      </c>
      <c r="I27" s="199"/>
      <c r="J27" s="200"/>
    </row>
    <row r="28" spans="1:10" ht="45" x14ac:dyDescent="0.2">
      <c r="A28" s="100" t="s">
        <v>719</v>
      </c>
      <c r="B28" s="184" t="s">
        <v>31</v>
      </c>
      <c r="C28" s="184" t="s">
        <v>32</v>
      </c>
      <c r="D28" s="100" t="s">
        <v>715</v>
      </c>
      <c r="E28" s="100" t="s">
        <v>34</v>
      </c>
      <c r="F28" s="100" t="s">
        <v>64</v>
      </c>
      <c r="G28" s="184" t="s">
        <v>720</v>
      </c>
      <c r="H28" s="187">
        <v>2022</v>
      </c>
      <c r="I28" s="199"/>
      <c r="J28" s="200"/>
    </row>
    <row r="29" spans="1:10" ht="45" x14ac:dyDescent="0.2">
      <c r="A29" s="100" t="s">
        <v>721</v>
      </c>
      <c r="B29" s="184" t="s">
        <v>31</v>
      </c>
      <c r="C29" s="184" t="s">
        <v>32</v>
      </c>
      <c r="D29" s="100" t="s">
        <v>715</v>
      </c>
      <c r="E29" s="100" t="s">
        <v>34</v>
      </c>
      <c r="F29" s="100" t="s">
        <v>64</v>
      </c>
      <c r="G29" s="184" t="s">
        <v>722</v>
      </c>
      <c r="H29" s="187">
        <v>2022</v>
      </c>
      <c r="I29" s="199"/>
      <c r="J29" s="200"/>
    </row>
    <row r="30" spans="1:10" ht="45" x14ac:dyDescent="0.2">
      <c r="A30" s="100" t="s">
        <v>723</v>
      </c>
      <c r="B30" s="184" t="s">
        <v>31</v>
      </c>
      <c r="C30" s="184" t="s">
        <v>32</v>
      </c>
      <c r="D30" s="100" t="s">
        <v>715</v>
      </c>
      <c r="E30" s="100" t="s">
        <v>34</v>
      </c>
      <c r="F30" s="100" t="s">
        <v>64</v>
      </c>
      <c r="G30" s="184" t="s">
        <v>724</v>
      </c>
      <c r="H30" s="187">
        <v>2022</v>
      </c>
      <c r="I30" s="199"/>
      <c r="J30" s="200"/>
    </row>
    <row r="31" spans="1:10" ht="45" x14ac:dyDescent="0.2">
      <c r="A31" s="100" t="s">
        <v>725</v>
      </c>
      <c r="B31" s="184" t="s">
        <v>31</v>
      </c>
      <c r="C31" s="184" t="s">
        <v>32</v>
      </c>
      <c r="D31" s="100" t="s">
        <v>715</v>
      </c>
      <c r="E31" s="100" t="s">
        <v>34</v>
      </c>
      <c r="F31" s="100" t="s">
        <v>64</v>
      </c>
      <c r="G31" s="184" t="s">
        <v>726</v>
      </c>
      <c r="H31" s="187">
        <v>2022</v>
      </c>
      <c r="I31" s="199"/>
      <c r="J31" s="200"/>
    </row>
    <row r="32" spans="1:10" ht="75" x14ac:dyDescent="0.2">
      <c r="A32" s="100" t="s">
        <v>727</v>
      </c>
      <c r="B32" s="184" t="s">
        <v>31</v>
      </c>
      <c r="C32" s="184" t="s">
        <v>32</v>
      </c>
      <c r="D32" s="100" t="s">
        <v>91</v>
      </c>
      <c r="E32" s="100" t="s">
        <v>34</v>
      </c>
      <c r="F32" s="100" t="s">
        <v>64</v>
      </c>
      <c r="G32" s="184" t="s">
        <v>728</v>
      </c>
      <c r="H32" s="187">
        <v>2022</v>
      </c>
      <c r="I32" s="199"/>
      <c r="J32" s="200"/>
    </row>
    <row r="33" spans="1:10" ht="75" x14ac:dyDescent="0.2">
      <c r="A33" s="100" t="s">
        <v>729</v>
      </c>
      <c r="B33" s="184" t="s">
        <v>31</v>
      </c>
      <c r="C33" s="184" t="s">
        <v>32</v>
      </c>
      <c r="D33" s="100" t="s">
        <v>91</v>
      </c>
      <c r="E33" s="100" t="s">
        <v>34</v>
      </c>
      <c r="F33" s="100" t="s">
        <v>680</v>
      </c>
      <c r="G33" s="184" t="s">
        <v>730</v>
      </c>
      <c r="H33" s="187">
        <v>2022</v>
      </c>
      <c r="I33" s="199"/>
      <c r="J33" s="200"/>
    </row>
    <row r="34" spans="1:10" ht="75" x14ac:dyDescent="0.2">
      <c r="A34" s="100" t="s">
        <v>731</v>
      </c>
      <c r="B34" s="184" t="s">
        <v>31</v>
      </c>
      <c r="C34" s="184" t="s">
        <v>32</v>
      </c>
      <c r="D34" s="100" t="s">
        <v>91</v>
      </c>
      <c r="E34" s="100" t="s">
        <v>34</v>
      </c>
      <c r="F34" s="100" t="s">
        <v>683</v>
      </c>
      <c r="G34" s="184" t="s">
        <v>732</v>
      </c>
      <c r="H34" s="187">
        <v>2022</v>
      </c>
      <c r="I34" s="199"/>
      <c r="J34" s="200"/>
    </row>
    <row r="35" spans="1:10" ht="75" x14ac:dyDescent="0.2">
      <c r="A35" s="100" t="s">
        <v>733</v>
      </c>
      <c r="B35" s="184" t="s">
        <v>31</v>
      </c>
      <c r="C35" s="184" t="s">
        <v>32</v>
      </c>
      <c r="D35" s="100" t="s">
        <v>91</v>
      </c>
      <c r="E35" s="100" t="s">
        <v>34</v>
      </c>
      <c r="F35" s="100" t="s">
        <v>683</v>
      </c>
      <c r="G35" s="184" t="s">
        <v>734</v>
      </c>
      <c r="H35" s="187">
        <v>2022</v>
      </c>
      <c r="I35" s="199"/>
      <c r="J35" s="200"/>
    </row>
    <row r="36" spans="1:10" ht="30" x14ac:dyDescent="0.2">
      <c r="A36" s="100" t="s">
        <v>735</v>
      </c>
      <c r="B36" s="184" t="s">
        <v>31</v>
      </c>
      <c r="C36" s="184" t="s">
        <v>32</v>
      </c>
      <c r="D36" s="100" t="s">
        <v>673</v>
      </c>
      <c r="E36" s="100" t="s">
        <v>34</v>
      </c>
      <c r="F36" s="100" t="s">
        <v>683</v>
      </c>
      <c r="G36" s="184" t="s">
        <v>736</v>
      </c>
      <c r="H36" s="187">
        <v>2023</v>
      </c>
      <c r="I36" s="199"/>
      <c r="J36" s="200"/>
    </row>
    <row r="37" spans="1:10" ht="30" x14ac:dyDescent="0.2">
      <c r="A37" s="100" t="s">
        <v>737</v>
      </c>
      <c r="B37" s="184" t="s">
        <v>31</v>
      </c>
      <c r="C37" s="184" t="s">
        <v>32</v>
      </c>
      <c r="D37" s="100" t="s">
        <v>673</v>
      </c>
      <c r="E37" s="100" t="s">
        <v>34</v>
      </c>
      <c r="F37" s="100" t="s">
        <v>683</v>
      </c>
      <c r="G37" s="184" t="s">
        <v>738</v>
      </c>
      <c r="H37" s="187">
        <v>2023</v>
      </c>
      <c r="I37" s="199"/>
      <c r="J37" s="200"/>
    </row>
    <row r="38" spans="1:10" ht="30" x14ac:dyDescent="0.2">
      <c r="A38" s="100" t="s">
        <v>739</v>
      </c>
      <c r="B38" s="184" t="s">
        <v>31</v>
      </c>
      <c r="C38" s="184" t="s">
        <v>32</v>
      </c>
      <c r="D38" s="100" t="s">
        <v>673</v>
      </c>
      <c r="E38" s="100" t="s">
        <v>34</v>
      </c>
      <c r="F38" s="100" t="s">
        <v>683</v>
      </c>
      <c r="G38" s="184" t="s">
        <v>740</v>
      </c>
      <c r="H38" s="187">
        <v>2023</v>
      </c>
      <c r="I38" s="199"/>
      <c r="J38" s="200"/>
    </row>
    <row r="39" spans="1:10" ht="30" x14ac:dyDescent="0.2">
      <c r="A39" s="100" t="s">
        <v>741</v>
      </c>
      <c r="B39" s="184" t="s">
        <v>31</v>
      </c>
      <c r="C39" s="184" t="s">
        <v>32</v>
      </c>
      <c r="D39" s="100" t="s">
        <v>673</v>
      </c>
      <c r="E39" s="100" t="s">
        <v>34</v>
      </c>
      <c r="F39" s="100" t="s">
        <v>683</v>
      </c>
      <c r="G39" s="184" t="s">
        <v>742</v>
      </c>
      <c r="H39" s="187">
        <v>2023</v>
      </c>
      <c r="I39" s="199"/>
      <c r="J39" s="200"/>
    </row>
    <row r="40" spans="1:10" ht="30" x14ac:dyDescent="0.2">
      <c r="A40" s="100" t="s">
        <v>743</v>
      </c>
      <c r="B40" s="184" t="s">
        <v>31</v>
      </c>
      <c r="C40" s="184" t="s">
        <v>32</v>
      </c>
      <c r="D40" s="100" t="s">
        <v>673</v>
      </c>
      <c r="E40" s="100" t="s">
        <v>34</v>
      </c>
      <c r="F40" s="100" t="s">
        <v>683</v>
      </c>
      <c r="G40" s="184" t="s">
        <v>744</v>
      </c>
      <c r="H40" s="187">
        <v>2023</v>
      </c>
      <c r="I40" s="199"/>
      <c r="J40" s="200"/>
    </row>
    <row r="41" spans="1:10" ht="30" x14ac:dyDescent="0.2">
      <c r="A41" s="100" t="s">
        <v>745</v>
      </c>
      <c r="B41" s="184" t="s">
        <v>31</v>
      </c>
      <c r="C41" s="184" t="s">
        <v>32</v>
      </c>
      <c r="D41" s="100" t="s">
        <v>673</v>
      </c>
      <c r="E41" s="100" t="s">
        <v>34</v>
      </c>
      <c r="F41" s="100" t="s">
        <v>683</v>
      </c>
      <c r="G41" s="184" t="s">
        <v>746</v>
      </c>
      <c r="H41" s="187">
        <v>2023</v>
      </c>
      <c r="I41" s="199"/>
      <c r="J41" s="200"/>
    </row>
    <row r="42" spans="1:10" ht="30" x14ac:dyDescent="0.2">
      <c r="A42" s="100" t="s">
        <v>747</v>
      </c>
      <c r="B42" s="184" t="s">
        <v>31</v>
      </c>
      <c r="C42" s="184" t="s">
        <v>32</v>
      </c>
      <c r="D42" s="100" t="s">
        <v>673</v>
      </c>
      <c r="E42" s="100" t="s">
        <v>34</v>
      </c>
      <c r="F42" s="100" t="s">
        <v>683</v>
      </c>
      <c r="G42" s="184" t="s">
        <v>748</v>
      </c>
      <c r="H42" s="187">
        <v>2023</v>
      </c>
      <c r="I42" s="199"/>
      <c r="J42" s="200"/>
    </row>
    <row r="43" spans="1:10" ht="30" x14ac:dyDescent="0.2">
      <c r="A43" s="100" t="s">
        <v>749</v>
      </c>
      <c r="B43" s="184" t="s">
        <v>31</v>
      </c>
      <c r="C43" s="184" t="s">
        <v>32</v>
      </c>
      <c r="D43" s="100" t="s">
        <v>673</v>
      </c>
      <c r="E43" s="100" t="s">
        <v>34</v>
      </c>
      <c r="F43" s="100" t="s">
        <v>683</v>
      </c>
      <c r="G43" s="184" t="s">
        <v>750</v>
      </c>
      <c r="H43" s="187">
        <v>2023</v>
      </c>
      <c r="I43" s="199"/>
      <c r="J43" s="200"/>
    </row>
    <row r="44" spans="1:10" ht="30" x14ac:dyDescent="0.2">
      <c r="A44" s="100" t="s">
        <v>751</v>
      </c>
      <c r="B44" s="184" t="s">
        <v>31</v>
      </c>
      <c r="C44" s="184" t="s">
        <v>32</v>
      </c>
      <c r="D44" s="100" t="s">
        <v>673</v>
      </c>
      <c r="E44" s="100" t="s">
        <v>34</v>
      </c>
      <c r="F44" s="100" t="s">
        <v>683</v>
      </c>
      <c r="G44" s="184" t="s">
        <v>752</v>
      </c>
      <c r="H44" s="187">
        <v>2023</v>
      </c>
      <c r="I44" s="199"/>
      <c r="J44" s="200"/>
    </row>
    <row r="45" spans="1:10" ht="30" x14ac:dyDescent="0.2">
      <c r="A45" s="100" t="s">
        <v>753</v>
      </c>
      <c r="B45" s="184" t="s">
        <v>31</v>
      </c>
      <c r="C45" s="184" t="s">
        <v>32</v>
      </c>
      <c r="D45" s="100" t="s">
        <v>673</v>
      </c>
      <c r="E45" s="100" t="s">
        <v>34</v>
      </c>
      <c r="F45" s="100" t="s">
        <v>683</v>
      </c>
      <c r="G45" s="184" t="s">
        <v>754</v>
      </c>
      <c r="H45" s="187">
        <v>2023</v>
      </c>
      <c r="I45" s="199"/>
      <c r="J45" s="200"/>
    </row>
    <row r="46" spans="1:10" ht="30" x14ac:dyDescent="0.2">
      <c r="A46" s="100" t="s">
        <v>755</v>
      </c>
      <c r="B46" s="184" t="s">
        <v>31</v>
      </c>
      <c r="C46" s="184" t="s">
        <v>32</v>
      </c>
      <c r="D46" s="100" t="s">
        <v>673</v>
      </c>
      <c r="E46" s="100" t="s">
        <v>34</v>
      </c>
      <c r="F46" s="100" t="s">
        <v>683</v>
      </c>
      <c r="G46" s="184" t="s">
        <v>756</v>
      </c>
      <c r="H46" s="187">
        <v>2023</v>
      </c>
      <c r="I46" s="199"/>
      <c r="J46" s="200"/>
    </row>
    <row r="47" spans="1:10" ht="30" x14ac:dyDescent="0.2">
      <c r="A47" s="100" t="s">
        <v>757</v>
      </c>
      <c r="B47" s="184" t="s">
        <v>31</v>
      </c>
      <c r="C47" s="184" t="s">
        <v>32</v>
      </c>
      <c r="D47" s="100" t="s">
        <v>673</v>
      </c>
      <c r="E47" s="100" t="s">
        <v>34</v>
      </c>
      <c r="F47" s="100" t="s">
        <v>683</v>
      </c>
      <c r="G47" s="184" t="s">
        <v>758</v>
      </c>
      <c r="H47" s="187">
        <v>2023</v>
      </c>
      <c r="I47" s="199"/>
      <c r="J47" s="200"/>
    </row>
    <row r="48" spans="1:10" ht="30" x14ac:dyDescent="0.2">
      <c r="A48" s="100" t="s">
        <v>759</v>
      </c>
      <c r="B48" s="184" t="s">
        <v>31</v>
      </c>
      <c r="C48" s="184" t="s">
        <v>32</v>
      </c>
      <c r="D48" s="100" t="s">
        <v>673</v>
      </c>
      <c r="E48" s="100" t="s">
        <v>34</v>
      </c>
      <c r="F48" s="100" t="s">
        <v>683</v>
      </c>
      <c r="G48" s="184" t="s">
        <v>760</v>
      </c>
      <c r="H48" s="187">
        <v>2023</v>
      </c>
      <c r="I48" s="199"/>
      <c r="J48" s="200"/>
    </row>
    <row r="49" spans="1:10" ht="30" x14ac:dyDescent="0.2">
      <c r="A49" s="100" t="s">
        <v>761</v>
      </c>
      <c r="B49" s="184" t="s">
        <v>31</v>
      </c>
      <c r="C49" s="184" t="s">
        <v>32</v>
      </c>
      <c r="D49" s="100" t="s">
        <v>673</v>
      </c>
      <c r="E49" s="100" t="s">
        <v>34</v>
      </c>
      <c r="F49" s="100" t="s">
        <v>683</v>
      </c>
      <c r="G49" s="184" t="s">
        <v>762</v>
      </c>
      <c r="H49" s="187">
        <v>2023</v>
      </c>
      <c r="I49" s="199"/>
      <c r="J49" s="200"/>
    </row>
    <row r="50" spans="1:10" ht="30" x14ac:dyDescent="0.2">
      <c r="A50" s="100" t="s">
        <v>763</v>
      </c>
      <c r="B50" s="184" t="s">
        <v>31</v>
      </c>
      <c r="C50" s="184" t="s">
        <v>32</v>
      </c>
      <c r="D50" s="100" t="s">
        <v>673</v>
      </c>
      <c r="E50" s="100" t="s">
        <v>34</v>
      </c>
      <c r="F50" s="100" t="s">
        <v>683</v>
      </c>
      <c r="G50" s="184" t="s">
        <v>764</v>
      </c>
      <c r="H50" s="187">
        <v>2023</v>
      </c>
      <c r="I50" s="199"/>
      <c r="J50" s="200"/>
    </row>
    <row r="51" spans="1:10" ht="30" x14ac:dyDescent="0.2">
      <c r="A51" s="100" t="s">
        <v>765</v>
      </c>
      <c r="B51" s="184" t="s">
        <v>31</v>
      </c>
      <c r="C51" s="184" t="s">
        <v>32</v>
      </c>
      <c r="D51" s="100" t="s">
        <v>673</v>
      </c>
      <c r="E51" s="100" t="s">
        <v>34</v>
      </c>
      <c r="F51" s="100" t="s">
        <v>683</v>
      </c>
      <c r="G51" s="184" t="s">
        <v>766</v>
      </c>
      <c r="H51" s="187">
        <v>2023</v>
      </c>
      <c r="I51" s="199"/>
      <c r="J51" s="200"/>
    </row>
    <row r="52" spans="1:10" ht="30" x14ac:dyDescent="0.2">
      <c r="A52" s="100" t="s">
        <v>767</v>
      </c>
      <c r="B52" s="184" t="s">
        <v>31</v>
      </c>
      <c r="C52" s="184" t="s">
        <v>32</v>
      </c>
      <c r="D52" s="100" t="s">
        <v>673</v>
      </c>
      <c r="E52" s="100" t="s">
        <v>34</v>
      </c>
      <c r="F52" s="100" t="s">
        <v>683</v>
      </c>
      <c r="G52" s="184" t="s">
        <v>768</v>
      </c>
      <c r="H52" s="187">
        <v>2023</v>
      </c>
      <c r="I52" s="199"/>
      <c r="J52" s="200"/>
    </row>
    <row r="53" spans="1:10" ht="30" x14ac:dyDescent="0.2">
      <c r="A53" s="100" t="s">
        <v>769</v>
      </c>
      <c r="B53" s="184" t="s">
        <v>31</v>
      </c>
      <c r="C53" s="184" t="s">
        <v>32</v>
      </c>
      <c r="D53" s="100" t="s">
        <v>673</v>
      </c>
      <c r="E53" s="100" t="s">
        <v>34</v>
      </c>
      <c r="F53" s="100" t="s">
        <v>683</v>
      </c>
      <c r="G53" s="184" t="s">
        <v>770</v>
      </c>
      <c r="H53" s="187">
        <v>2023</v>
      </c>
      <c r="I53" s="199"/>
      <c r="J53" s="200"/>
    </row>
    <row r="54" spans="1:10" ht="30" x14ac:dyDescent="0.2">
      <c r="A54" s="100" t="s">
        <v>771</v>
      </c>
      <c r="B54" s="184" t="s">
        <v>31</v>
      </c>
      <c r="C54" s="184" t="s">
        <v>32</v>
      </c>
      <c r="D54" s="100" t="s">
        <v>673</v>
      </c>
      <c r="E54" s="100" t="s">
        <v>34</v>
      </c>
      <c r="F54" s="100" t="s">
        <v>683</v>
      </c>
      <c r="G54" s="184" t="s">
        <v>772</v>
      </c>
      <c r="H54" s="187">
        <v>2023</v>
      </c>
      <c r="I54" s="199"/>
      <c r="J54" s="200"/>
    </row>
    <row r="55" spans="1:10" ht="30" x14ac:dyDescent="0.2">
      <c r="A55" s="100" t="s">
        <v>773</v>
      </c>
      <c r="B55" s="184" t="s">
        <v>31</v>
      </c>
      <c r="C55" s="184" t="s">
        <v>32</v>
      </c>
      <c r="D55" s="100" t="s">
        <v>673</v>
      </c>
      <c r="E55" s="100" t="s">
        <v>34</v>
      </c>
      <c r="F55" s="100" t="s">
        <v>683</v>
      </c>
      <c r="G55" s="184" t="s">
        <v>774</v>
      </c>
      <c r="H55" s="187">
        <v>2023</v>
      </c>
      <c r="I55" s="199"/>
      <c r="J55" s="200"/>
    </row>
    <row r="56" spans="1:10" ht="30" x14ac:dyDescent="0.2">
      <c r="A56" s="100" t="s">
        <v>775</v>
      </c>
      <c r="B56" s="184" t="s">
        <v>31</v>
      </c>
      <c r="C56" s="184" t="s">
        <v>32</v>
      </c>
      <c r="D56" s="100" t="s">
        <v>673</v>
      </c>
      <c r="E56" s="100" t="s">
        <v>34</v>
      </c>
      <c r="F56" s="100" t="s">
        <v>683</v>
      </c>
      <c r="G56" s="184" t="s">
        <v>776</v>
      </c>
      <c r="H56" s="187">
        <v>2023</v>
      </c>
      <c r="I56" s="199"/>
      <c r="J56" s="200"/>
    </row>
    <row r="57" spans="1:10" ht="30" x14ac:dyDescent="0.2">
      <c r="A57" s="100" t="s">
        <v>777</v>
      </c>
      <c r="B57" s="184" t="s">
        <v>31</v>
      </c>
      <c r="C57" s="184" t="s">
        <v>32</v>
      </c>
      <c r="D57" s="100" t="s">
        <v>673</v>
      </c>
      <c r="E57" s="100" t="s">
        <v>34</v>
      </c>
      <c r="F57" s="100" t="s">
        <v>683</v>
      </c>
      <c r="G57" s="184" t="s">
        <v>778</v>
      </c>
      <c r="H57" s="187">
        <v>2023</v>
      </c>
      <c r="I57" s="199"/>
      <c r="J57" s="200"/>
    </row>
    <row r="58" spans="1:10" ht="45" x14ac:dyDescent="0.2">
      <c r="A58" s="100" t="s">
        <v>779</v>
      </c>
      <c r="B58" s="184" t="s">
        <v>31</v>
      </c>
      <c r="C58" s="184" t="s">
        <v>32</v>
      </c>
      <c r="D58" s="100" t="s">
        <v>715</v>
      </c>
      <c r="E58" s="100" t="s">
        <v>34</v>
      </c>
      <c r="F58" s="100" t="s">
        <v>683</v>
      </c>
      <c r="G58" s="184" t="s">
        <v>780</v>
      </c>
      <c r="H58" s="187">
        <v>2023</v>
      </c>
      <c r="I58" s="199"/>
      <c r="J58" s="200"/>
    </row>
    <row r="59" spans="1:10" ht="45" x14ac:dyDescent="0.2">
      <c r="A59" s="100" t="s">
        <v>781</v>
      </c>
      <c r="B59" s="184" t="s">
        <v>31</v>
      </c>
      <c r="C59" s="184" t="s">
        <v>32</v>
      </c>
      <c r="D59" s="100" t="s">
        <v>715</v>
      </c>
      <c r="E59" s="100" t="s">
        <v>34</v>
      </c>
      <c r="F59" s="100" t="s">
        <v>683</v>
      </c>
      <c r="G59" s="184" t="s">
        <v>782</v>
      </c>
      <c r="H59" s="187">
        <v>2023</v>
      </c>
      <c r="I59" s="199"/>
      <c r="J59" s="200"/>
    </row>
    <row r="60" spans="1:10" ht="45" x14ac:dyDescent="0.2">
      <c r="A60" s="100" t="s">
        <v>783</v>
      </c>
      <c r="B60" s="184" t="s">
        <v>31</v>
      </c>
      <c r="C60" s="184" t="s">
        <v>32</v>
      </c>
      <c r="D60" s="100" t="s">
        <v>715</v>
      </c>
      <c r="E60" s="100" t="s">
        <v>34</v>
      </c>
      <c r="F60" s="100" t="s">
        <v>683</v>
      </c>
      <c r="G60" s="184" t="s">
        <v>784</v>
      </c>
      <c r="H60" s="187">
        <v>2023</v>
      </c>
      <c r="I60" s="199"/>
      <c r="J60" s="200"/>
    </row>
    <row r="61" spans="1:10" ht="45" x14ac:dyDescent="0.2">
      <c r="A61" s="100" t="s">
        <v>785</v>
      </c>
      <c r="B61" s="184" t="s">
        <v>31</v>
      </c>
      <c r="C61" s="184" t="s">
        <v>32</v>
      </c>
      <c r="D61" s="100" t="s">
        <v>715</v>
      </c>
      <c r="E61" s="100" t="s">
        <v>34</v>
      </c>
      <c r="F61" s="100" t="s">
        <v>683</v>
      </c>
      <c r="G61" s="184" t="s">
        <v>786</v>
      </c>
      <c r="H61" s="187">
        <v>2023</v>
      </c>
      <c r="I61" s="199"/>
      <c r="J61" s="200"/>
    </row>
    <row r="62" spans="1:10" ht="45" x14ac:dyDescent="0.2">
      <c r="A62" s="100" t="s">
        <v>787</v>
      </c>
      <c r="B62" s="184" t="s">
        <v>31</v>
      </c>
      <c r="C62" s="184" t="s">
        <v>32</v>
      </c>
      <c r="D62" s="100" t="s">
        <v>715</v>
      </c>
      <c r="E62" s="100" t="s">
        <v>34</v>
      </c>
      <c r="F62" s="100" t="s">
        <v>683</v>
      </c>
      <c r="G62" s="184" t="s">
        <v>788</v>
      </c>
      <c r="H62" s="187">
        <v>2023</v>
      </c>
      <c r="I62" s="199"/>
      <c r="J62" s="200"/>
    </row>
    <row r="63" spans="1:10" ht="45" x14ac:dyDescent="0.2">
      <c r="A63" s="100" t="s">
        <v>789</v>
      </c>
      <c r="B63" s="184" t="s">
        <v>31</v>
      </c>
      <c r="C63" s="184" t="s">
        <v>32</v>
      </c>
      <c r="D63" s="100" t="s">
        <v>715</v>
      </c>
      <c r="E63" s="100" t="s">
        <v>34</v>
      </c>
      <c r="F63" s="100" t="s">
        <v>683</v>
      </c>
      <c r="G63" s="184" t="s">
        <v>790</v>
      </c>
      <c r="H63" s="187">
        <v>2023</v>
      </c>
      <c r="I63" s="199"/>
      <c r="J63" s="200"/>
    </row>
    <row r="64" spans="1:10" ht="45" x14ac:dyDescent="0.2">
      <c r="A64" s="100" t="s">
        <v>791</v>
      </c>
      <c r="B64" s="184" t="s">
        <v>31</v>
      </c>
      <c r="C64" s="184" t="s">
        <v>32</v>
      </c>
      <c r="D64" s="100" t="s">
        <v>715</v>
      </c>
      <c r="E64" s="100" t="s">
        <v>34</v>
      </c>
      <c r="F64" s="100" t="s">
        <v>683</v>
      </c>
      <c r="G64" s="184" t="s">
        <v>792</v>
      </c>
      <c r="H64" s="187">
        <v>2023</v>
      </c>
      <c r="I64" s="199"/>
      <c r="J64" s="200"/>
    </row>
    <row r="65" spans="1:10" ht="45" x14ac:dyDescent="0.2">
      <c r="A65" s="100" t="s">
        <v>793</v>
      </c>
      <c r="B65" s="184" t="s">
        <v>31</v>
      </c>
      <c r="C65" s="184" t="s">
        <v>32</v>
      </c>
      <c r="D65" s="100" t="s">
        <v>715</v>
      </c>
      <c r="E65" s="100" t="s">
        <v>34</v>
      </c>
      <c r="F65" s="100" t="s">
        <v>683</v>
      </c>
      <c r="G65" s="184" t="s">
        <v>794</v>
      </c>
      <c r="H65" s="187">
        <v>2023</v>
      </c>
      <c r="I65" s="199"/>
      <c r="J65" s="200"/>
    </row>
    <row r="66" spans="1:10" ht="75" x14ac:dyDescent="0.2">
      <c r="A66" s="100" t="s">
        <v>795</v>
      </c>
      <c r="B66" s="184" t="s">
        <v>31</v>
      </c>
      <c r="C66" s="184" t="s">
        <v>32</v>
      </c>
      <c r="D66" s="100" t="s">
        <v>796</v>
      </c>
      <c r="E66" s="100" t="s">
        <v>34</v>
      </c>
      <c r="F66" s="100" t="s">
        <v>680</v>
      </c>
      <c r="G66" s="184" t="s">
        <v>797</v>
      </c>
      <c r="H66" s="187">
        <v>2023</v>
      </c>
      <c r="I66" s="199"/>
      <c r="J66" s="200"/>
    </row>
    <row r="67" spans="1:10" ht="105" x14ac:dyDescent="0.2">
      <c r="A67" s="100" t="s">
        <v>798</v>
      </c>
      <c r="B67" s="184" t="s">
        <v>31</v>
      </c>
      <c r="C67" s="184" t="s">
        <v>32</v>
      </c>
      <c r="D67" s="100" t="s">
        <v>796</v>
      </c>
      <c r="E67" s="100" t="s">
        <v>34</v>
      </c>
      <c r="F67" s="100" t="s">
        <v>680</v>
      </c>
      <c r="G67" s="184" t="s">
        <v>799</v>
      </c>
      <c r="H67" s="187">
        <v>2023</v>
      </c>
      <c r="I67" s="199"/>
      <c r="J67" s="200"/>
    </row>
    <row r="68" spans="1:10" ht="30" x14ac:dyDescent="0.2">
      <c r="A68" s="100" t="s">
        <v>800</v>
      </c>
      <c r="B68" s="184" t="s">
        <v>31</v>
      </c>
      <c r="C68" s="184" t="s">
        <v>32</v>
      </c>
      <c r="D68" s="100" t="s">
        <v>673</v>
      </c>
      <c r="E68" s="100" t="s">
        <v>34</v>
      </c>
      <c r="F68" s="100" t="s">
        <v>64</v>
      </c>
      <c r="G68" s="184" t="s">
        <v>801</v>
      </c>
      <c r="H68" s="187">
        <v>2024</v>
      </c>
      <c r="I68" s="199"/>
      <c r="J68" s="200"/>
    </row>
    <row r="69" spans="1:10" ht="30" x14ac:dyDescent="0.2">
      <c r="A69" s="100" t="s">
        <v>802</v>
      </c>
      <c r="B69" s="184" t="s">
        <v>31</v>
      </c>
      <c r="C69" s="184" t="s">
        <v>32</v>
      </c>
      <c r="D69" s="100" t="s">
        <v>673</v>
      </c>
      <c r="E69" s="100" t="s">
        <v>34</v>
      </c>
      <c r="F69" s="100" t="s">
        <v>680</v>
      </c>
      <c r="G69" s="184" t="s">
        <v>803</v>
      </c>
      <c r="H69" s="187">
        <v>2024</v>
      </c>
      <c r="I69" s="199"/>
      <c r="J69" s="200"/>
    </row>
    <row r="70" spans="1:10" ht="30" x14ac:dyDescent="0.2">
      <c r="A70" s="100" t="s">
        <v>804</v>
      </c>
      <c r="B70" s="184" t="s">
        <v>31</v>
      </c>
      <c r="C70" s="184" t="s">
        <v>32</v>
      </c>
      <c r="D70" s="100" t="s">
        <v>673</v>
      </c>
      <c r="E70" s="100" t="s">
        <v>34</v>
      </c>
      <c r="F70" s="100" t="s">
        <v>680</v>
      </c>
      <c r="G70" s="184" t="s">
        <v>805</v>
      </c>
      <c r="H70" s="187">
        <v>2024</v>
      </c>
      <c r="I70" s="199"/>
      <c r="J70" s="200"/>
    </row>
    <row r="71" spans="1:10" ht="30" x14ac:dyDescent="0.2">
      <c r="A71" s="100" t="s">
        <v>806</v>
      </c>
      <c r="B71" s="184" t="s">
        <v>31</v>
      </c>
      <c r="C71" s="184" t="s">
        <v>32</v>
      </c>
      <c r="D71" s="100" t="s">
        <v>673</v>
      </c>
      <c r="E71" s="100" t="s">
        <v>34</v>
      </c>
      <c r="F71" s="100" t="s">
        <v>64</v>
      </c>
      <c r="G71" s="184" t="s">
        <v>807</v>
      </c>
      <c r="H71" s="187">
        <v>2024</v>
      </c>
      <c r="I71" s="199"/>
      <c r="J71" s="200"/>
    </row>
    <row r="72" spans="1:10" ht="30" x14ac:dyDescent="0.2">
      <c r="A72" s="100" t="s">
        <v>808</v>
      </c>
      <c r="B72" s="184" t="s">
        <v>31</v>
      </c>
      <c r="C72" s="184" t="s">
        <v>32</v>
      </c>
      <c r="D72" s="100" t="s">
        <v>673</v>
      </c>
      <c r="E72" s="100" t="s">
        <v>34</v>
      </c>
      <c r="F72" s="100" t="s">
        <v>680</v>
      </c>
      <c r="G72" s="184" t="s">
        <v>809</v>
      </c>
      <c r="H72" s="187">
        <v>2024</v>
      </c>
      <c r="I72" s="199"/>
      <c r="J72" s="200"/>
    </row>
    <row r="73" spans="1:10" ht="30" x14ac:dyDescent="0.2">
      <c r="A73" s="100" t="s">
        <v>810</v>
      </c>
      <c r="B73" s="184" t="s">
        <v>31</v>
      </c>
      <c r="C73" s="184" t="s">
        <v>32</v>
      </c>
      <c r="D73" s="100" t="s">
        <v>673</v>
      </c>
      <c r="E73" s="100" t="s">
        <v>34</v>
      </c>
      <c r="F73" s="100" t="s">
        <v>680</v>
      </c>
      <c r="G73" s="184" t="s">
        <v>811</v>
      </c>
      <c r="H73" s="187">
        <v>2024</v>
      </c>
      <c r="I73" s="199"/>
      <c r="J73" s="200"/>
    </row>
    <row r="74" spans="1:10" ht="30" x14ac:dyDescent="0.2">
      <c r="A74" s="100" t="s">
        <v>812</v>
      </c>
      <c r="B74" s="184" t="s">
        <v>31</v>
      </c>
      <c r="C74" s="184" t="s">
        <v>32</v>
      </c>
      <c r="D74" s="100" t="s">
        <v>673</v>
      </c>
      <c r="E74" s="100" t="s">
        <v>34</v>
      </c>
      <c r="F74" s="100" t="s">
        <v>683</v>
      </c>
      <c r="G74" s="184" t="s">
        <v>813</v>
      </c>
      <c r="H74" s="187">
        <v>2024</v>
      </c>
      <c r="I74" s="199"/>
      <c r="J74" s="200"/>
    </row>
    <row r="75" spans="1:10" ht="45" x14ac:dyDescent="0.2">
      <c r="A75" s="100" t="s">
        <v>814</v>
      </c>
      <c r="B75" s="184" t="s">
        <v>31</v>
      </c>
      <c r="C75" s="184" t="s">
        <v>32</v>
      </c>
      <c r="D75" s="100" t="s">
        <v>673</v>
      </c>
      <c r="E75" s="100" t="s">
        <v>34</v>
      </c>
      <c r="F75" s="100" t="s">
        <v>683</v>
      </c>
      <c r="G75" s="184" t="s">
        <v>815</v>
      </c>
      <c r="H75" s="187">
        <v>2024</v>
      </c>
      <c r="I75" s="199"/>
      <c r="J75" s="200"/>
    </row>
    <row r="76" spans="1:10" ht="30" x14ac:dyDescent="0.2">
      <c r="A76" s="100" t="s">
        <v>816</v>
      </c>
      <c r="B76" s="184" t="s">
        <v>31</v>
      </c>
      <c r="C76" s="184" t="s">
        <v>32</v>
      </c>
      <c r="D76" s="100" t="s">
        <v>673</v>
      </c>
      <c r="E76" s="100" t="s">
        <v>34</v>
      </c>
      <c r="F76" s="100" t="s">
        <v>683</v>
      </c>
      <c r="G76" s="184" t="s">
        <v>817</v>
      </c>
      <c r="H76" s="187">
        <v>2024</v>
      </c>
      <c r="I76" s="199"/>
      <c r="J76" s="200"/>
    </row>
    <row r="77" spans="1:10" ht="30" x14ac:dyDescent="0.2">
      <c r="A77" s="100" t="s">
        <v>818</v>
      </c>
      <c r="B77" s="184" t="s">
        <v>31</v>
      </c>
      <c r="C77" s="184" t="s">
        <v>32</v>
      </c>
      <c r="D77" s="100" t="s">
        <v>715</v>
      </c>
      <c r="E77" s="100" t="s">
        <v>34</v>
      </c>
      <c r="F77" s="100" t="s">
        <v>64</v>
      </c>
      <c r="G77" s="184" t="s">
        <v>819</v>
      </c>
      <c r="H77" s="187">
        <v>2024</v>
      </c>
      <c r="I77" s="199"/>
      <c r="J77" s="200"/>
    </row>
    <row r="78" spans="1:10" ht="30" x14ac:dyDescent="0.2">
      <c r="A78" s="100" t="s">
        <v>820</v>
      </c>
      <c r="B78" s="184" t="s">
        <v>31</v>
      </c>
      <c r="C78" s="184" t="s">
        <v>32</v>
      </c>
      <c r="D78" s="100" t="s">
        <v>715</v>
      </c>
      <c r="E78" s="100" t="s">
        <v>34</v>
      </c>
      <c r="F78" s="100" t="s">
        <v>64</v>
      </c>
      <c r="G78" s="184" t="s">
        <v>821</v>
      </c>
      <c r="H78" s="187">
        <v>2024</v>
      </c>
      <c r="I78" s="199"/>
      <c r="J78" s="200"/>
    </row>
    <row r="79" spans="1:10" ht="30" x14ac:dyDescent="0.2">
      <c r="A79" s="100" t="s">
        <v>822</v>
      </c>
      <c r="B79" s="184" t="s">
        <v>31</v>
      </c>
      <c r="C79" s="184" t="s">
        <v>32</v>
      </c>
      <c r="D79" s="100" t="s">
        <v>715</v>
      </c>
      <c r="E79" s="100" t="s">
        <v>34</v>
      </c>
      <c r="F79" s="100" t="s">
        <v>64</v>
      </c>
      <c r="G79" s="184" t="s">
        <v>823</v>
      </c>
      <c r="H79" s="187">
        <v>2024</v>
      </c>
      <c r="I79" s="199"/>
      <c r="J79" s="200"/>
    </row>
    <row r="80" spans="1:10" ht="30" x14ac:dyDescent="0.2">
      <c r="A80" s="100" t="s">
        <v>824</v>
      </c>
      <c r="B80" s="184" t="s">
        <v>31</v>
      </c>
      <c r="C80" s="184" t="s">
        <v>32</v>
      </c>
      <c r="D80" s="100" t="s">
        <v>715</v>
      </c>
      <c r="E80" s="100" t="s">
        <v>34</v>
      </c>
      <c r="F80" s="100" t="s">
        <v>64</v>
      </c>
      <c r="G80" s="184" t="s">
        <v>825</v>
      </c>
      <c r="H80" s="187">
        <v>2024</v>
      </c>
      <c r="I80" s="199"/>
      <c r="J80" s="200"/>
    </row>
    <row r="81" spans="1:10" ht="75" x14ac:dyDescent="0.2">
      <c r="A81" s="100" t="s">
        <v>826</v>
      </c>
      <c r="B81" s="184" t="s">
        <v>31</v>
      </c>
      <c r="C81" s="184" t="s">
        <v>32</v>
      </c>
      <c r="D81" s="100" t="s">
        <v>796</v>
      </c>
      <c r="E81" s="100" t="s">
        <v>34</v>
      </c>
      <c r="F81" s="100" t="s">
        <v>680</v>
      </c>
      <c r="G81" s="184" t="s">
        <v>827</v>
      </c>
      <c r="H81" s="187">
        <v>2024</v>
      </c>
      <c r="I81" s="199"/>
      <c r="J81" s="200"/>
    </row>
    <row r="82" spans="1:10" ht="30" x14ac:dyDescent="0.2">
      <c r="A82" s="100" t="s">
        <v>828</v>
      </c>
      <c r="B82" s="184" t="s">
        <v>31</v>
      </c>
      <c r="C82" s="184" t="s">
        <v>32</v>
      </c>
      <c r="D82" s="100" t="s">
        <v>796</v>
      </c>
      <c r="E82" s="100" t="s">
        <v>34</v>
      </c>
      <c r="F82" s="100" t="s">
        <v>64</v>
      </c>
      <c r="G82" s="184" t="s">
        <v>829</v>
      </c>
      <c r="H82" s="187">
        <v>2024</v>
      </c>
      <c r="I82" s="199"/>
      <c r="J82" s="200"/>
    </row>
    <row r="83" spans="1:10" ht="60" x14ac:dyDescent="0.2">
      <c r="A83" s="100" t="s">
        <v>830</v>
      </c>
      <c r="B83" s="184" t="s">
        <v>31</v>
      </c>
      <c r="C83" s="184" t="s">
        <v>32</v>
      </c>
      <c r="D83" s="100" t="s">
        <v>796</v>
      </c>
      <c r="E83" s="100" t="s">
        <v>34</v>
      </c>
      <c r="F83" s="100" t="s">
        <v>64</v>
      </c>
      <c r="G83" s="184" t="s">
        <v>831</v>
      </c>
      <c r="H83" s="187">
        <v>2024</v>
      </c>
      <c r="I83" s="199"/>
      <c r="J83" s="200"/>
    </row>
    <row r="84" spans="1:10" ht="30" x14ac:dyDescent="0.2">
      <c r="A84" s="100" t="s">
        <v>832</v>
      </c>
      <c r="B84" s="184" t="s">
        <v>31</v>
      </c>
      <c r="C84" s="184" t="s">
        <v>32</v>
      </c>
      <c r="D84" s="100" t="s">
        <v>796</v>
      </c>
      <c r="E84" s="100" t="s">
        <v>34</v>
      </c>
      <c r="F84" s="100" t="s">
        <v>64</v>
      </c>
      <c r="G84" s="184" t="s">
        <v>833</v>
      </c>
      <c r="H84" s="187">
        <v>2024</v>
      </c>
      <c r="I84" s="199"/>
      <c r="J84" s="200"/>
    </row>
    <row r="85" spans="1:10" ht="30" x14ac:dyDescent="0.2">
      <c r="A85" s="100" t="s">
        <v>834</v>
      </c>
      <c r="B85" s="184" t="s">
        <v>31</v>
      </c>
      <c r="C85" s="184" t="s">
        <v>32</v>
      </c>
      <c r="D85" s="100" t="s">
        <v>673</v>
      </c>
      <c r="E85" s="100" t="s">
        <v>34</v>
      </c>
      <c r="F85" s="100" t="s">
        <v>64</v>
      </c>
      <c r="G85" s="184" t="s">
        <v>835</v>
      </c>
      <c r="H85" s="187">
        <v>2025</v>
      </c>
      <c r="I85" s="199"/>
      <c r="J85" s="200"/>
    </row>
    <row r="86" spans="1:10" ht="30" x14ac:dyDescent="0.2">
      <c r="A86" s="100" t="s">
        <v>836</v>
      </c>
      <c r="B86" s="184" t="s">
        <v>31</v>
      </c>
      <c r="C86" s="184" t="s">
        <v>32</v>
      </c>
      <c r="D86" s="100" t="s">
        <v>673</v>
      </c>
      <c r="E86" s="100" t="s">
        <v>34</v>
      </c>
      <c r="F86" s="100" t="s">
        <v>64</v>
      </c>
      <c r="G86" s="184" t="s">
        <v>837</v>
      </c>
      <c r="H86" s="187">
        <v>2025</v>
      </c>
      <c r="I86" s="199"/>
      <c r="J86" s="200"/>
    </row>
    <row r="87" spans="1:10" ht="30" x14ac:dyDescent="0.2">
      <c r="A87" s="100" t="s">
        <v>838</v>
      </c>
      <c r="B87" s="184" t="s">
        <v>31</v>
      </c>
      <c r="C87" s="184" t="s">
        <v>32</v>
      </c>
      <c r="D87" s="100" t="s">
        <v>673</v>
      </c>
      <c r="E87" s="100" t="s">
        <v>34</v>
      </c>
      <c r="F87" s="100" t="s">
        <v>64</v>
      </c>
      <c r="G87" s="184" t="s">
        <v>839</v>
      </c>
      <c r="H87" s="187">
        <v>2025</v>
      </c>
      <c r="I87" s="199"/>
      <c r="J87" s="200"/>
    </row>
    <row r="88" spans="1:10" ht="30" x14ac:dyDescent="0.2">
      <c r="A88" s="100" t="s">
        <v>840</v>
      </c>
      <c r="B88" s="184" t="s">
        <v>31</v>
      </c>
      <c r="C88" s="184" t="s">
        <v>32</v>
      </c>
      <c r="D88" s="100" t="s">
        <v>673</v>
      </c>
      <c r="E88" s="100" t="s">
        <v>34</v>
      </c>
      <c r="F88" s="100" t="s">
        <v>64</v>
      </c>
      <c r="G88" s="184" t="s">
        <v>841</v>
      </c>
      <c r="H88" s="187">
        <v>2025</v>
      </c>
      <c r="I88" s="199"/>
      <c r="J88" s="200"/>
    </row>
    <row r="89" spans="1:10" ht="30" x14ac:dyDescent="0.2">
      <c r="A89" s="100" t="s">
        <v>842</v>
      </c>
      <c r="B89" s="184" t="s">
        <v>31</v>
      </c>
      <c r="C89" s="184" t="s">
        <v>32</v>
      </c>
      <c r="D89" s="100" t="s">
        <v>673</v>
      </c>
      <c r="E89" s="100" t="s">
        <v>34</v>
      </c>
      <c r="F89" s="100" t="s">
        <v>64</v>
      </c>
      <c r="G89" s="184" t="s">
        <v>843</v>
      </c>
      <c r="H89" s="187">
        <v>2025</v>
      </c>
      <c r="I89" s="199"/>
      <c r="J89" s="200"/>
    </row>
    <row r="90" spans="1:10" ht="30" x14ac:dyDescent="0.2">
      <c r="A90" s="100" t="s">
        <v>844</v>
      </c>
      <c r="B90" s="184" t="s">
        <v>31</v>
      </c>
      <c r="C90" s="184" t="s">
        <v>32</v>
      </c>
      <c r="D90" s="100" t="s">
        <v>673</v>
      </c>
      <c r="E90" s="100" t="s">
        <v>34</v>
      </c>
      <c r="F90" s="100" t="s">
        <v>683</v>
      </c>
      <c r="G90" s="184" t="s">
        <v>845</v>
      </c>
      <c r="H90" s="187">
        <v>2025</v>
      </c>
      <c r="I90" s="199"/>
      <c r="J90" s="200"/>
    </row>
    <row r="91" spans="1:10" ht="30" x14ac:dyDescent="0.2">
      <c r="A91" s="100" t="s">
        <v>846</v>
      </c>
      <c r="B91" s="184" t="s">
        <v>31</v>
      </c>
      <c r="C91" s="184" t="s">
        <v>32</v>
      </c>
      <c r="D91" s="100" t="s">
        <v>673</v>
      </c>
      <c r="E91" s="100" t="s">
        <v>34</v>
      </c>
      <c r="F91" s="100" t="s">
        <v>683</v>
      </c>
      <c r="G91" s="184" t="s">
        <v>847</v>
      </c>
      <c r="H91" s="187">
        <v>2025</v>
      </c>
      <c r="I91" s="199"/>
      <c r="J91" s="200"/>
    </row>
    <row r="92" spans="1:10" ht="45" x14ac:dyDescent="0.2">
      <c r="A92" s="100" t="s">
        <v>848</v>
      </c>
      <c r="B92" s="184" t="s">
        <v>31</v>
      </c>
      <c r="C92" s="184" t="s">
        <v>32</v>
      </c>
      <c r="D92" s="100" t="s">
        <v>715</v>
      </c>
      <c r="E92" s="100" t="s">
        <v>34</v>
      </c>
      <c r="F92" s="100" t="s">
        <v>683</v>
      </c>
      <c r="G92" s="184" t="s">
        <v>849</v>
      </c>
      <c r="H92" s="187">
        <v>2025</v>
      </c>
      <c r="I92" s="199"/>
      <c r="J92" s="200"/>
    </row>
    <row r="93" spans="1:10" ht="45" x14ac:dyDescent="0.2">
      <c r="A93" s="100" t="s">
        <v>850</v>
      </c>
      <c r="B93" s="184" t="s">
        <v>31</v>
      </c>
      <c r="C93" s="184" t="s">
        <v>32</v>
      </c>
      <c r="D93" s="100" t="s">
        <v>715</v>
      </c>
      <c r="E93" s="100" t="s">
        <v>34</v>
      </c>
      <c r="F93" s="100" t="s">
        <v>683</v>
      </c>
      <c r="G93" s="184" t="s">
        <v>851</v>
      </c>
      <c r="H93" s="187">
        <v>2025</v>
      </c>
      <c r="I93" s="199"/>
      <c r="J93" s="200"/>
    </row>
    <row r="94" spans="1:10" ht="45" x14ac:dyDescent="0.2">
      <c r="A94" s="100" t="s">
        <v>852</v>
      </c>
      <c r="B94" s="184" t="s">
        <v>31</v>
      </c>
      <c r="C94" s="184" t="s">
        <v>32</v>
      </c>
      <c r="D94" s="100" t="s">
        <v>715</v>
      </c>
      <c r="E94" s="100" t="s">
        <v>34</v>
      </c>
      <c r="F94" s="100" t="s">
        <v>683</v>
      </c>
      <c r="G94" s="184" t="s">
        <v>853</v>
      </c>
      <c r="H94" s="187">
        <v>2025</v>
      </c>
      <c r="I94" s="199"/>
      <c r="J94" s="200"/>
    </row>
    <row r="95" spans="1:10" ht="45" x14ac:dyDescent="0.2">
      <c r="A95" s="100" t="s">
        <v>854</v>
      </c>
      <c r="B95" s="184" t="s">
        <v>31</v>
      </c>
      <c r="C95" s="184" t="s">
        <v>32</v>
      </c>
      <c r="D95" s="100" t="s">
        <v>715</v>
      </c>
      <c r="E95" s="100" t="s">
        <v>34</v>
      </c>
      <c r="F95" s="100" t="s">
        <v>683</v>
      </c>
      <c r="G95" s="184" t="s">
        <v>855</v>
      </c>
      <c r="H95" s="187">
        <v>2025</v>
      </c>
      <c r="I95" s="199"/>
      <c r="J95" s="200"/>
    </row>
    <row r="96" spans="1:10" ht="45" x14ac:dyDescent="0.2">
      <c r="A96" s="100" t="s">
        <v>856</v>
      </c>
      <c r="B96" s="184" t="s">
        <v>31</v>
      </c>
      <c r="C96" s="184" t="s">
        <v>32</v>
      </c>
      <c r="D96" s="100" t="s">
        <v>715</v>
      </c>
      <c r="E96" s="100" t="s">
        <v>34</v>
      </c>
      <c r="F96" s="100" t="s">
        <v>683</v>
      </c>
      <c r="G96" s="184" t="s">
        <v>857</v>
      </c>
      <c r="H96" s="187">
        <v>2025</v>
      </c>
      <c r="I96" s="199"/>
      <c r="J96" s="200"/>
    </row>
    <row r="97" spans="1:10" ht="45" x14ac:dyDescent="0.2">
      <c r="A97" s="100" t="s">
        <v>858</v>
      </c>
      <c r="B97" s="184" t="s">
        <v>31</v>
      </c>
      <c r="C97" s="184" t="s">
        <v>32</v>
      </c>
      <c r="D97" s="100" t="s">
        <v>715</v>
      </c>
      <c r="E97" s="100" t="s">
        <v>34</v>
      </c>
      <c r="F97" s="100" t="s">
        <v>683</v>
      </c>
      <c r="G97" s="184" t="s">
        <v>859</v>
      </c>
      <c r="H97" s="187">
        <v>2025</v>
      </c>
      <c r="I97" s="199"/>
      <c r="J97" s="200"/>
    </row>
    <row r="98" spans="1:10" ht="45" x14ac:dyDescent="0.2">
      <c r="A98" s="100" t="s">
        <v>860</v>
      </c>
      <c r="B98" s="184" t="s">
        <v>31</v>
      </c>
      <c r="C98" s="184" t="s">
        <v>32</v>
      </c>
      <c r="D98" s="100" t="s">
        <v>715</v>
      </c>
      <c r="E98" s="100" t="s">
        <v>34</v>
      </c>
      <c r="F98" s="100" t="s">
        <v>683</v>
      </c>
      <c r="G98" s="184" t="s">
        <v>861</v>
      </c>
      <c r="H98" s="187">
        <v>2025</v>
      </c>
      <c r="I98" s="199"/>
      <c r="J98" s="200"/>
    </row>
    <row r="99" spans="1:10" ht="45" x14ac:dyDescent="0.2">
      <c r="A99" s="100" t="s">
        <v>862</v>
      </c>
      <c r="B99" s="184" t="s">
        <v>31</v>
      </c>
      <c r="C99" s="184" t="s">
        <v>32</v>
      </c>
      <c r="D99" s="100" t="s">
        <v>715</v>
      </c>
      <c r="E99" s="100" t="s">
        <v>34</v>
      </c>
      <c r="F99" s="100" t="s">
        <v>683</v>
      </c>
      <c r="G99" s="184" t="s">
        <v>863</v>
      </c>
      <c r="H99" s="187">
        <v>2025</v>
      </c>
      <c r="I99" s="199"/>
      <c r="J99" s="200"/>
    </row>
    <row r="100" spans="1:10" ht="60" x14ac:dyDescent="0.2">
      <c r="A100" s="100" t="s">
        <v>864</v>
      </c>
      <c r="B100" s="184" t="s">
        <v>31</v>
      </c>
      <c r="C100" s="184" t="s">
        <v>32</v>
      </c>
      <c r="D100" s="100" t="s">
        <v>796</v>
      </c>
      <c r="E100" s="100" t="s">
        <v>34</v>
      </c>
      <c r="F100" s="100" t="s">
        <v>680</v>
      </c>
      <c r="G100" s="184" t="s">
        <v>865</v>
      </c>
      <c r="H100" s="187">
        <v>2025</v>
      </c>
      <c r="I100" s="199"/>
      <c r="J100" s="200"/>
    </row>
    <row r="101" spans="1:10" ht="60" x14ac:dyDescent="0.2">
      <c r="A101" s="100" t="s">
        <v>866</v>
      </c>
      <c r="B101" s="184" t="s">
        <v>31</v>
      </c>
      <c r="C101" s="184" t="s">
        <v>867</v>
      </c>
      <c r="D101" s="100" t="s">
        <v>796</v>
      </c>
      <c r="E101" s="100" t="s">
        <v>34</v>
      </c>
      <c r="F101" s="100" t="s">
        <v>680</v>
      </c>
      <c r="G101" s="184" t="s">
        <v>868</v>
      </c>
      <c r="H101" s="187">
        <v>2025</v>
      </c>
      <c r="I101" s="199"/>
      <c r="J101" s="200"/>
    </row>
    <row r="102" spans="1:10" ht="30" x14ac:dyDescent="0.2">
      <c r="A102" s="100" t="s">
        <v>869</v>
      </c>
      <c r="B102" s="184" t="s">
        <v>31</v>
      </c>
      <c r="C102" s="184" t="s">
        <v>32</v>
      </c>
      <c r="D102" s="100" t="s">
        <v>673</v>
      </c>
      <c r="E102" s="100" t="s">
        <v>34</v>
      </c>
      <c r="F102" s="100" t="s">
        <v>64</v>
      </c>
      <c r="G102" s="184" t="s">
        <v>870</v>
      </c>
      <c r="H102" s="187">
        <v>2026</v>
      </c>
      <c r="I102" s="199"/>
      <c r="J102" s="200"/>
    </row>
    <row r="103" spans="1:10" ht="30" x14ac:dyDescent="0.2">
      <c r="A103" s="100" t="s">
        <v>871</v>
      </c>
      <c r="B103" s="184" t="s">
        <v>31</v>
      </c>
      <c r="C103" s="184" t="s">
        <v>32</v>
      </c>
      <c r="D103" s="100" t="s">
        <v>673</v>
      </c>
      <c r="E103" s="100" t="s">
        <v>34</v>
      </c>
      <c r="F103" s="100" t="s">
        <v>64</v>
      </c>
      <c r="G103" s="184" t="s">
        <v>872</v>
      </c>
      <c r="H103" s="187">
        <v>2026</v>
      </c>
      <c r="I103" s="199"/>
      <c r="J103" s="200"/>
    </row>
    <row r="104" spans="1:10" ht="30" x14ac:dyDescent="0.2">
      <c r="A104" s="100" t="s">
        <v>873</v>
      </c>
      <c r="B104" s="184" t="s">
        <v>31</v>
      </c>
      <c r="C104" s="184" t="s">
        <v>32</v>
      </c>
      <c r="D104" s="100" t="s">
        <v>673</v>
      </c>
      <c r="E104" s="100" t="s">
        <v>34</v>
      </c>
      <c r="F104" s="100" t="s">
        <v>64</v>
      </c>
      <c r="G104" s="184" t="s">
        <v>874</v>
      </c>
      <c r="H104" s="187">
        <v>2026</v>
      </c>
      <c r="I104" s="199"/>
      <c r="J104" s="200"/>
    </row>
    <row r="105" spans="1:10" ht="30" x14ac:dyDescent="0.2">
      <c r="A105" s="100" t="s">
        <v>875</v>
      </c>
      <c r="B105" s="184" t="s">
        <v>31</v>
      </c>
      <c r="C105" s="184" t="s">
        <v>32</v>
      </c>
      <c r="D105" s="100" t="s">
        <v>673</v>
      </c>
      <c r="E105" s="100" t="s">
        <v>34</v>
      </c>
      <c r="F105" s="100" t="s">
        <v>680</v>
      </c>
      <c r="G105" s="184" t="s">
        <v>876</v>
      </c>
      <c r="H105" s="187">
        <v>2026</v>
      </c>
      <c r="I105" s="199"/>
      <c r="J105" s="200"/>
    </row>
    <row r="106" spans="1:10" ht="30" x14ac:dyDescent="0.2">
      <c r="A106" s="100" t="s">
        <v>877</v>
      </c>
      <c r="B106" s="184" t="s">
        <v>31</v>
      </c>
      <c r="C106" s="184" t="s">
        <v>32</v>
      </c>
      <c r="D106" s="100" t="s">
        <v>673</v>
      </c>
      <c r="E106" s="100" t="s">
        <v>34</v>
      </c>
      <c r="F106" s="100" t="s">
        <v>683</v>
      </c>
      <c r="G106" s="184" t="s">
        <v>878</v>
      </c>
      <c r="H106" s="187">
        <v>2026</v>
      </c>
      <c r="I106" s="199"/>
      <c r="J106" s="200"/>
    </row>
    <row r="107" spans="1:10" ht="45" x14ac:dyDescent="0.2">
      <c r="A107" s="100" t="s">
        <v>879</v>
      </c>
      <c r="B107" s="184" t="s">
        <v>31</v>
      </c>
      <c r="C107" s="184" t="s">
        <v>32</v>
      </c>
      <c r="D107" s="100" t="s">
        <v>715</v>
      </c>
      <c r="E107" s="100" t="s">
        <v>34</v>
      </c>
      <c r="F107" s="100" t="s">
        <v>64</v>
      </c>
      <c r="G107" s="184" t="s">
        <v>880</v>
      </c>
      <c r="H107" s="187">
        <v>2026</v>
      </c>
      <c r="I107" s="199"/>
      <c r="J107" s="200"/>
    </row>
    <row r="108" spans="1:10" ht="45" x14ac:dyDescent="0.2">
      <c r="A108" s="100" t="s">
        <v>881</v>
      </c>
      <c r="B108" s="184" t="s">
        <v>31</v>
      </c>
      <c r="C108" s="184" t="s">
        <v>32</v>
      </c>
      <c r="D108" s="100" t="s">
        <v>715</v>
      </c>
      <c r="E108" s="100" t="s">
        <v>34</v>
      </c>
      <c r="F108" s="100" t="s">
        <v>64</v>
      </c>
      <c r="G108" s="184" t="s">
        <v>882</v>
      </c>
      <c r="H108" s="187">
        <v>2026</v>
      </c>
      <c r="I108" s="199"/>
      <c r="J108" s="200"/>
    </row>
    <row r="109" spans="1:10" ht="45" x14ac:dyDescent="0.2">
      <c r="A109" s="100" t="s">
        <v>883</v>
      </c>
      <c r="B109" s="184" t="s">
        <v>31</v>
      </c>
      <c r="C109" s="184" t="s">
        <v>32</v>
      </c>
      <c r="D109" s="100" t="s">
        <v>715</v>
      </c>
      <c r="E109" s="100" t="s">
        <v>34</v>
      </c>
      <c r="F109" s="100" t="s">
        <v>64</v>
      </c>
      <c r="G109" s="184" t="s">
        <v>884</v>
      </c>
      <c r="H109" s="187">
        <v>2026</v>
      </c>
      <c r="I109" s="199"/>
      <c r="J109" s="200"/>
    </row>
    <row r="110" spans="1:10" ht="45" x14ac:dyDescent="0.2">
      <c r="A110" s="100" t="s">
        <v>885</v>
      </c>
      <c r="B110" s="184" t="s">
        <v>31</v>
      </c>
      <c r="C110" s="184" t="s">
        <v>32</v>
      </c>
      <c r="D110" s="100" t="s">
        <v>715</v>
      </c>
      <c r="E110" s="100" t="s">
        <v>34</v>
      </c>
      <c r="F110" s="100" t="s">
        <v>64</v>
      </c>
      <c r="G110" s="184" t="s">
        <v>886</v>
      </c>
      <c r="H110" s="187">
        <v>2026</v>
      </c>
      <c r="I110" s="199"/>
      <c r="J110" s="200"/>
    </row>
    <row r="111" spans="1:10" ht="45" x14ac:dyDescent="0.2">
      <c r="A111" s="100" t="s">
        <v>887</v>
      </c>
      <c r="B111" s="184" t="s">
        <v>31</v>
      </c>
      <c r="C111" s="184" t="s">
        <v>32</v>
      </c>
      <c r="D111" s="100" t="s">
        <v>715</v>
      </c>
      <c r="E111" s="100" t="s">
        <v>34</v>
      </c>
      <c r="F111" s="100" t="s">
        <v>64</v>
      </c>
      <c r="G111" s="184" t="s">
        <v>888</v>
      </c>
      <c r="H111" s="187">
        <v>2026</v>
      </c>
      <c r="I111" s="199"/>
      <c r="J111" s="200"/>
    </row>
    <row r="112" spans="1:10" ht="45" x14ac:dyDescent="0.2">
      <c r="A112" s="100" t="s">
        <v>889</v>
      </c>
      <c r="B112" s="184" t="s">
        <v>31</v>
      </c>
      <c r="C112" s="184" t="s">
        <v>32</v>
      </c>
      <c r="D112" s="100" t="s">
        <v>715</v>
      </c>
      <c r="E112" s="100" t="s">
        <v>34</v>
      </c>
      <c r="F112" s="100" t="s">
        <v>64</v>
      </c>
      <c r="G112" s="184" t="s">
        <v>890</v>
      </c>
      <c r="H112" s="187">
        <v>2026</v>
      </c>
      <c r="I112" s="199"/>
      <c r="J112" s="200"/>
    </row>
    <row r="113" spans="1:10" ht="45" x14ac:dyDescent="0.2">
      <c r="A113" s="100" t="s">
        <v>891</v>
      </c>
      <c r="B113" s="184" t="s">
        <v>31</v>
      </c>
      <c r="C113" s="184" t="s">
        <v>32</v>
      </c>
      <c r="D113" s="100" t="s">
        <v>715</v>
      </c>
      <c r="E113" s="100" t="s">
        <v>34</v>
      </c>
      <c r="F113" s="100" t="s">
        <v>680</v>
      </c>
      <c r="G113" s="184" t="s">
        <v>892</v>
      </c>
      <c r="H113" s="187">
        <v>2026</v>
      </c>
      <c r="I113" s="199"/>
      <c r="J113" s="200"/>
    </row>
    <row r="114" spans="1:10" ht="45" x14ac:dyDescent="0.2">
      <c r="A114" s="100" t="s">
        <v>893</v>
      </c>
      <c r="B114" s="184" t="s">
        <v>31</v>
      </c>
      <c r="C114" s="184" t="s">
        <v>32</v>
      </c>
      <c r="D114" s="100" t="s">
        <v>715</v>
      </c>
      <c r="E114" s="100" t="s">
        <v>34</v>
      </c>
      <c r="F114" s="100" t="s">
        <v>680</v>
      </c>
      <c r="G114" s="184" t="s">
        <v>894</v>
      </c>
      <c r="H114" s="187">
        <v>2026</v>
      </c>
      <c r="I114" s="199"/>
      <c r="J114" s="200"/>
    </row>
    <row r="115" spans="1:10" ht="45" x14ac:dyDescent="0.2">
      <c r="A115" s="100" t="s">
        <v>895</v>
      </c>
      <c r="B115" s="184" t="s">
        <v>31</v>
      </c>
      <c r="C115" s="184" t="s">
        <v>32</v>
      </c>
      <c r="D115" s="100" t="s">
        <v>715</v>
      </c>
      <c r="E115" s="100" t="s">
        <v>34</v>
      </c>
      <c r="F115" s="100" t="s">
        <v>680</v>
      </c>
      <c r="G115" s="184" t="s">
        <v>896</v>
      </c>
      <c r="H115" s="187">
        <v>2026</v>
      </c>
      <c r="I115" s="199"/>
      <c r="J115" s="200"/>
    </row>
    <row r="116" spans="1:10" ht="45" x14ac:dyDescent="0.2">
      <c r="A116" s="100" t="s">
        <v>897</v>
      </c>
      <c r="B116" s="184" t="s">
        <v>31</v>
      </c>
      <c r="C116" s="184" t="s">
        <v>32</v>
      </c>
      <c r="D116" s="100" t="s">
        <v>715</v>
      </c>
      <c r="E116" s="100" t="s">
        <v>34</v>
      </c>
      <c r="F116" s="100" t="s">
        <v>680</v>
      </c>
      <c r="G116" s="184" t="s">
        <v>898</v>
      </c>
      <c r="H116" s="187">
        <v>2026</v>
      </c>
      <c r="I116" s="199"/>
      <c r="J116" s="200"/>
    </row>
    <row r="117" spans="1:10" ht="45" x14ac:dyDescent="0.2">
      <c r="A117" s="100" t="s">
        <v>899</v>
      </c>
      <c r="B117" s="184" t="s">
        <v>31</v>
      </c>
      <c r="C117" s="184" t="s">
        <v>32</v>
      </c>
      <c r="D117" s="100" t="s">
        <v>715</v>
      </c>
      <c r="E117" s="100" t="s">
        <v>34</v>
      </c>
      <c r="F117" s="100" t="s">
        <v>680</v>
      </c>
      <c r="G117" s="184" t="s">
        <v>900</v>
      </c>
      <c r="H117" s="187">
        <v>2026</v>
      </c>
      <c r="I117" s="199"/>
      <c r="J117" s="200"/>
    </row>
    <row r="118" spans="1:10" x14ac:dyDescent="0.2">
      <c r="I118" s="98"/>
    </row>
    <row r="119" spans="1:10" x14ac:dyDescent="0.2">
      <c r="I119" s="98"/>
    </row>
    <row r="120" spans="1:10" x14ac:dyDescent="0.2">
      <c r="I120" s="98"/>
    </row>
    <row r="122" spans="1:10" x14ac:dyDescent="0.2">
      <c r="I122" s="108"/>
    </row>
  </sheetData>
  <sheetProtection formatCells="0" formatColumns="0" formatRows="0" sort="0" autoFilter="0" pivotTables="0"/>
  <sortState xmlns:xlrd2="http://schemas.microsoft.com/office/spreadsheetml/2017/richdata2" ref="A7:J117">
    <sortCondition ref="H7:H117"/>
    <sortCondition ref="D7:D117"/>
  </sortState>
  <mergeCells count="2">
    <mergeCell ref="A1:J1"/>
    <mergeCell ref="A2:J2"/>
  </mergeCells>
  <printOptions horizontalCentered="1"/>
  <pageMargins left="0.75" right="0.75" top="1" bottom="1" header="0.5" footer="0.5"/>
  <pageSetup scale="68" fitToHeight="0" orientation="landscape" r:id="rId1"/>
  <headerFooter scaleWithDoc="0">
    <oddHeader>&amp;RPetitioner's Exhibit No. 2
Attachment  &amp;A
CEI South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7AAF6-E77B-457B-A0DF-EA3F389758A3}">
  <sheetPr>
    <pageSetUpPr fitToPage="1"/>
  </sheetPr>
  <dimension ref="A1:AG256"/>
  <sheetViews>
    <sheetView view="pageBreakPreview" zoomScale="75" zoomScaleNormal="70" zoomScaleSheetLayoutView="75" workbookViewId="0">
      <pane xSplit="5" ySplit="6" topLeftCell="F7" activePane="bottomRight" state="frozen"/>
      <selection pane="topRight" activeCell="F1" sqref="F1"/>
      <selection pane="bottomLeft" activeCell="A7" sqref="A7"/>
      <selection pane="bottomRight" activeCell="F7" sqref="F7"/>
    </sheetView>
  </sheetViews>
  <sheetFormatPr defaultRowHeight="12.75" x14ac:dyDescent="0.2"/>
  <cols>
    <col min="1" max="1" width="11" style="109" customWidth="1"/>
    <col min="2" max="2" width="18.42578125" style="109" customWidth="1"/>
    <col min="3" max="3" width="15.28515625" style="109" customWidth="1"/>
    <col min="4" max="4" width="21.85546875" style="110" customWidth="1"/>
    <col min="5" max="5" width="26.42578125" style="110" customWidth="1"/>
    <col min="6" max="6" width="15.7109375" style="111" customWidth="1"/>
    <col min="7" max="7" width="13.140625" style="111" customWidth="1"/>
    <col min="8" max="8" width="12.28515625" style="111" customWidth="1"/>
    <col min="9" max="9" width="21.85546875" style="112" customWidth="1"/>
    <col min="10" max="10" width="20.85546875" style="111" customWidth="1"/>
    <col min="11" max="11" width="18.85546875" style="111" customWidth="1"/>
    <col min="12" max="12" width="22.5703125" style="111" customWidth="1"/>
    <col min="13" max="13" width="19.42578125" style="111" customWidth="1"/>
    <col min="14" max="14" width="16" style="111" customWidth="1"/>
    <col min="15" max="15" width="20.42578125" style="111" customWidth="1"/>
    <col min="16" max="16" width="15.42578125" style="112" customWidth="1"/>
    <col min="17" max="17" width="15.140625" style="112" customWidth="1"/>
    <col min="18" max="18" width="15.42578125" style="112" customWidth="1"/>
    <col min="19" max="19" width="16.28515625" style="112" customWidth="1"/>
    <col min="20" max="20" width="15.42578125" style="112" customWidth="1"/>
    <col min="21" max="21" width="16.85546875" style="112" customWidth="1"/>
    <col min="22" max="22" width="16.28515625" style="112" customWidth="1"/>
    <col min="23" max="23" width="15.5703125" style="112" customWidth="1"/>
    <col min="24" max="24" width="17" style="112" customWidth="1"/>
    <col min="25" max="25" width="17.28515625" style="112" customWidth="1"/>
    <col min="26" max="26" width="16.5703125" style="112" customWidth="1"/>
    <col min="27" max="27" width="17.5703125" style="112" bestFit="1" customWidth="1"/>
    <col min="28" max="30" width="17.5703125" style="112" customWidth="1"/>
    <col min="31" max="31" width="17.42578125" style="110" customWidth="1"/>
    <col min="32" max="32" width="19.42578125" style="110" customWidth="1"/>
    <col min="33" max="33" width="23.85546875" style="110" customWidth="1"/>
    <col min="34" max="253" width="9.140625" style="110"/>
    <col min="254" max="254" width="11" style="110" customWidth="1"/>
    <col min="255" max="255" width="18.42578125" style="110" customWidth="1"/>
    <col min="256" max="256" width="15.28515625" style="110" customWidth="1"/>
    <col min="257" max="257" width="21.85546875" style="110" customWidth="1"/>
    <col min="258" max="258" width="26.42578125" style="110" customWidth="1"/>
    <col min="259" max="259" width="11.85546875" style="110" customWidth="1"/>
    <col min="260" max="260" width="13.140625" style="110" customWidth="1"/>
    <col min="261" max="261" width="12.28515625" style="110" customWidth="1"/>
    <col min="262" max="262" width="21.85546875" style="110" customWidth="1"/>
    <col min="263" max="263" width="20.85546875" style="110" customWidth="1"/>
    <col min="264" max="264" width="18.85546875" style="110" customWidth="1"/>
    <col min="265" max="265" width="22.5703125" style="110" customWidth="1"/>
    <col min="266" max="266" width="19.42578125" style="110" customWidth="1"/>
    <col min="267" max="267" width="16" style="110" customWidth="1"/>
    <col min="268" max="268" width="20.42578125" style="110" customWidth="1"/>
    <col min="269" max="269" width="15.42578125" style="110" customWidth="1"/>
    <col min="270" max="270" width="15.140625" style="110" customWidth="1"/>
    <col min="271" max="271" width="15.42578125" style="110" customWidth="1"/>
    <col min="272" max="272" width="16.28515625" style="110" customWidth="1"/>
    <col min="273" max="273" width="15.42578125" style="110" customWidth="1"/>
    <col min="274" max="274" width="16.85546875" style="110" customWidth="1"/>
    <col min="275" max="275" width="16.28515625" style="110" customWidth="1"/>
    <col min="276" max="276" width="15.5703125" style="110" customWidth="1"/>
    <col min="277" max="277" width="17" style="110" customWidth="1"/>
    <col min="278" max="278" width="17.28515625" style="110" customWidth="1"/>
    <col min="279" max="279" width="16.5703125" style="110" customWidth="1"/>
    <col min="280" max="280" width="17.5703125" style="110" bestFit="1" customWidth="1"/>
    <col min="281" max="283" width="17.5703125" style="110" customWidth="1"/>
    <col min="284" max="284" width="16.5703125" style="110" customWidth="1"/>
    <col min="285" max="285" width="19.42578125" style="110" customWidth="1"/>
    <col min="286" max="286" width="23.85546875" style="110" customWidth="1"/>
    <col min="287" max="287" width="18.28515625" style="110" customWidth="1"/>
    <col min="288" max="288" width="17.7109375" style="110" customWidth="1"/>
    <col min="289" max="289" width="12" style="110" customWidth="1"/>
    <col min="290" max="509" width="9.140625" style="110"/>
    <col min="510" max="510" width="11" style="110" customWidth="1"/>
    <col min="511" max="511" width="18.42578125" style="110" customWidth="1"/>
    <col min="512" max="512" width="15.28515625" style="110" customWidth="1"/>
    <col min="513" max="513" width="21.85546875" style="110" customWidth="1"/>
    <col min="514" max="514" width="26.42578125" style="110" customWidth="1"/>
    <col min="515" max="515" width="11.85546875" style="110" customWidth="1"/>
    <col min="516" max="516" width="13.140625" style="110" customWidth="1"/>
    <col min="517" max="517" width="12.28515625" style="110" customWidth="1"/>
    <col min="518" max="518" width="21.85546875" style="110" customWidth="1"/>
    <col min="519" max="519" width="20.85546875" style="110" customWidth="1"/>
    <col min="520" max="520" width="18.85546875" style="110" customWidth="1"/>
    <col min="521" max="521" width="22.5703125" style="110" customWidth="1"/>
    <col min="522" max="522" width="19.42578125" style="110" customWidth="1"/>
    <col min="523" max="523" width="16" style="110" customWidth="1"/>
    <col min="524" max="524" width="20.42578125" style="110" customWidth="1"/>
    <col min="525" max="525" width="15.42578125" style="110" customWidth="1"/>
    <col min="526" max="526" width="15.140625" style="110" customWidth="1"/>
    <col min="527" max="527" width="15.42578125" style="110" customWidth="1"/>
    <col min="528" max="528" width="16.28515625" style="110" customWidth="1"/>
    <col min="529" max="529" width="15.42578125" style="110" customWidth="1"/>
    <col min="530" max="530" width="16.85546875" style="110" customWidth="1"/>
    <col min="531" max="531" width="16.28515625" style="110" customWidth="1"/>
    <col min="532" max="532" width="15.5703125" style="110" customWidth="1"/>
    <col min="533" max="533" width="17" style="110" customWidth="1"/>
    <col min="534" max="534" width="17.28515625" style="110" customWidth="1"/>
    <col min="535" max="535" width="16.5703125" style="110" customWidth="1"/>
    <col min="536" max="536" width="17.5703125" style="110" bestFit="1" customWidth="1"/>
    <col min="537" max="539" width="17.5703125" style="110" customWidth="1"/>
    <col min="540" max="540" width="16.5703125" style="110" customWidth="1"/>
    <col min="541" max="541" width="19.42578125" style="110" customWidth="1"/>
    <col min="542" max="542" width="23.85546875" style="110" customWidth="1"/>
    <col min="543" max="543" width="18.28515625" style="110" customWidth="1"/>
    <col min="544" max="544" width="17.7109375" style="110" customWidth="1"/>
    <col min="545" max="545" width="12" style="110" customWidth="1"/>
    <col min="546" max="765" width="9.140625" style="110"/>
    <col min="766" max="766" width="11" style="110" customWidth="1"/>
    <col min="767" max="767" width="18.42578125" style="110" customWidth="1"/>
    <col min="768" max="768" width="15.28515625" style="110" customWidth="1"/>
    <col min="769" max="769" width="21.85546875" style="110" customWidth="1"/>
    <col min="770" max="770" width="26.42578125" style="110" customWidth="1"/>
    <col min="771" max="771" width="11.85546875" style="110" customWidth="1"/>
    <col min="772" max="772" width="13.140625" style="110" customWidth="1"/>
    <col min="773" max="773" width="12.28515625" style="110" customWidth="1"/>
    <col min="774" max="774" width="21.85546875" style="110" customWidth="1"/>
    <col min="775" max="775" width="20.85546875" style="110" customWidth="1"/>
    <col min="776" max="776" width="18.85546875" style="110" customWidth="1"/>
    <col min="777" max="777" width="22.5703125" style="110" customWidth="1"/>
    <col min="778" max="778" width="19.42578125" style="110" customWidth="1"/>
    <col min="779" max="779" width="16" style="110" customWidth="1"/>
    <col min="780" max="780" width="20.42578125" style="110" customWidth="1"/>
    <col min="781" max="781" width="15.42578125" style="110" customWidth="1"/>
    <col min="782" max="782" width="15.140625" style="110" customWidth="1"/>
    <col min="783" max="783" width="15.42578125" style="110" customWidth="1"/>
    <col min="784" max="784" width="16.28515625" style="110" customWidth="1"/>
    <col min="785" max="785" width="15.42578125" style="110" customWidth="1"/>
    <col min="786" max="786" width="16.85546875" style="110" customWidth="1"/>
    <col min="787" max="787" width="16.28515625" style="110" customWidth="1"/>
    <col min="788" max="788" width="15.5703125" style="110" customWidth="1"/>
    <col min="789" max="789" width="17" style="110" customWidth="1"/>
    <col min="790" max="790" width="17.28515625" style="110" customWidth="1"/>
    <col min="791" max="791" width="16.5703125" style="110" customWidth="1"/>
    <col min="792" max="792" width="17.5703125" style="110" bestFit="1" customWidth="1"/>
    <col min="793" max="795" width="17.5703125" style="110" customWidth="1"/>
    <col min="796" max="796" width="16.5703125" style="110" customWidth="1"/>
    <col min="797" max="797" width="19.42578125" style="110" customWidth="1"/>
    <col min="798" max="798" width="23.85546875" style="110" customWidth="1"/>
    <col min="799" max="799" width="18.28515625" style="110" customWidth="1"/>
    <col min="800" max="800" width="17.7109375" style="110" customWidth="1"/>
    <col min="801" max="801" width="12" style="110" customWidth="1"/>
    <col min="802" max="1021" width="9.140625" style="110"/>
    <col min="1022" max="1022" width="11" style="110" customWidth="1"/>
    <col min="1023" max="1023" width="18.42578125" style="110" customWidth="1"/>
    <col min="1024" max="1024" width="15.28515625" style="110" customWidth="1"/>
    <col min="1025" max="1025" width="21.85546875" style="110" customWidth="1"/>
    <col min="1026" max="1026" width="26.42578125" style="110" customWidth="1"/>
    <col min="1027" max="1027" width="11.85546875" style="110" customWidth="1"/>
    <col min="1028" max="1028" width="13.140625" style="110" customWidth="1"/>
    <col min="1029" max="1029" width="12.28515625" style="110" customWidth="1"/>
    <col min="1030" max="1030" width="21.85546875" style="110" customWidth="1"/>
    <col min="1031" max="1031" width="20.85546875" style="110" customWidth="1"/>
    <col min="1032" max="1032" width="18.85546875" style="110" customWidth="1"/>
    <col min="1033" max="1033" width="22.5703125" style="110" customWidth="1"/>
    <col min="1034" max="1034" width="19.42578125" style="110" customWidth="1"/>
    <col min="1035" max="1035" width="16" style="110" customWidth="1"/>
    <col min="1036" max="1036" width="20.42578125" style="110" customWidth="1"/>
    <col min="1037" max="1037" width="15.42578125" style="110" customWidth="1"/>
    <col min="1038" max="1038" width="15.140625" style="110" customWidth="1"/>
    <col min="1039" max="1039" width="15.42578125" style="110" customWidth="1"/>
    <col min="1040" max="1040" width="16.28515625" style="110" customWidth="1"/>
    <col min="1041" max="1041" width="15.42578125" style="110" customWidth="1"/>
    <col min="1042" max="1042" width="16.85546875" style="110" customWidth="1"/>
    <col min="1043" max="1043" width="16.28515625" style="110" customWidth="1"/>
    <col min="1044" max="1044" width="15.5703125" style="110" customWidth="1"/>
    <col min="1045" max="1045" width="17" style="110" customWidth="1"/>
    <col min="1046" max="1046" width="17.28515625" style="110" customWidth="1"/>
    <col min="1047" max="1047" width="16.5703125" style="110" customWidth="1"/>
    <col min="1048" max="1048" width="17.5703125" style="110" bestFit="1" customWidth="1"/>
    <col min="1049" max="1051" width="17.5703125" style="110" customWidth="1"/>
    <col min="1052" max="1052" width="16.5703125" style="110" customWidth="1"/>
    <col min="1053" max="1053" width="19.42578125" style="110" customWidth="1"/>
    <col min="1054" max="1054" width="23.85546875" style="110" customWidth="1"/>
    <col min="1055" max="1055" width="18.28515625" style="110" customWidth="1"/>
    <col min="1056" max="1056" width="17.7109375" style="110" customWidth="1"/>
    <col min="1057" max="1057" width="12" style="110" customWidth="1"/>
    <col min="1058" max="1277" width="9.140625" style="110"/>
    <col min="1278" max="1278" width="11" style="110" customWidth="1"/>
    <col min="1279" max="1279" width="18.42578125" style="110" customWidth="1"/>
    <col min="1280" max="1280" width="15.28515625" style="110" customWidth="1"/>
    <col min="1281" max="1281" width="21.85546875" style="110" customWidth="1"/>
    <col min="1282" max="1282" width="26.42578125" style="110" customWidth="1"/>
    <col min="1283" max="1283" width="11.85546875" style="110" customWidth="1"/>
    <col min="1284" max="1284" width="13.140625" style="110" customWidth="1"/>
    <col min="1285" max="1285" width="12.28515625" style="110" customWidth="1"/>
    <col min="1286" max="1286" width="21.85546875" style="110" customWidth="1"/>
    <col min="1287" max="1287" width="20.85546875" style="110" customWidth="1"/>
    <col min="1288" max="1288" width="18.85546875" style="110" customWidth="1"/>
    <col min="1289" max="1289" width="22.5703125" style="110" customWidth="1"/>
    <col min="1290" max="1290" width="19.42578125" style="110" customWidth="1"/>
    <col min="1291" max="1291" width="16" style="110" customWidth="1"/>
    <col min="1292" max="1292" width="20.42578125" style="110" customWidth="1"/>
    <col min="1293" max="1293" width="15.42578125" style="110" customWidth="1"/>
    <col min="1294" max="1294" width="15.140625" style="110" customWidth="1"/>
    <col min="1295" max="1295" width="15.42578125" style="110" customWidth="1"/>
    <col min="1296" max="1296" width="16.28515625" style="110" customWidth="1"/>
    <col min="1297" max="1297" width="15.42578125" style="110" customWidth="1"/>
    <col min="1298" max="1298" width="16.85546875" style="110" customWidth="1"/>
    <col min="1299" max="1299" width="16.28515625" style="110" customWidth="1"/>
    <col min="1300" max="1300" width="15.5703125" style="110" customWidth="1"/>
    <col min="1301" max="1301" width="17" style="110" customWidth="1"/>
    <col min="1302" max="1302" width="17.28515625" style="110" customWidth="1"/>
    <col min="1303" max="1303" width="16.5703125" style="110" customWidth="1"/>
    <col min="1304" max="1304" width="17.5703125" style="110" bestFit="1" customWidth="1"/>
    <col min="1305" max="1307" width="17.5703125" style="110" customWidth="1"/>
    <col min="1308" max="1308" width="16.5703125" style="110" customWidth="1"/>
    <col min="1309" max="1309" width="19.42578125" style="110" customWidth="1"/>
    <col min="1310" max="1310" width="23.85546875" style="110" customWidth="1"/>
    <col min="1311" max="1311" width="18.28515625" style="110" customWidth="1"/>
    <col min="1312" max="1312" width="17.7109375" style="110" customWidth="1"/>
    <col min="1313" max="1313" width="12" style="110" customWidth="1"/>
    <col min="1314" max="1533" width="9.140625" style="110"/>
    <col min="1534" max="1534" width="11" style="110" customWidth="1"/>
    <col min="1535" max="1535" width="18.42578125" style="110" customWidth="1"/>
    <col min="1536" max="1536" width="15.28515625" style="110" customWidth="1"/>
    <col min="1537" max="1537" width="21.85546875" style="110" customWidth="1"/>
    <col min="1538" max="1538" width="26.42578125" style="110" customWidth="1"/>
    <col min="1539" max="1539" width="11.85546875" style="110" customWidth="1"/>
    <col min="1540" max="1540" width="13.140625" style="110" customWidth="1"/>
    <col min="1541" max="1541" width="12.28515625" style="110" customWidth="1"/>
    <col min="1542" max="1542" width="21.85546875" style="110" customWidth="1"/>
    <col min="1543" max="1543" width="20.85546875" style="110" customWidth="1"/>
    <col min="1544" max="1544" width="18.85546875" style="110" customWidth="1"/>
    <col min="1545" max="1545" width="22.5703125" style="110" customWidth="1"/>
    <col min="1546" max="1546" width="19.42578125" style="110" customWidth="1"/>
    <col min="1547" max="1547" width="16" style="110" customWidth="1"/>
    <col min="1548" max="1548" width="20.42578125" style="110" customWidth="1"/>
    <col min="1549" max="1549" width="15.42578125" style="110" customWidth="1"/>
    <col min="1550" max="1550" width="15.140625" style="110" customWidth="1"/>
    <col min="1551" max="1551" width="15.42578125" style="110" customWidth="1"/>
    <col min="1552" max="1552" width="16.28515625" style="110" customWidth="1"/>
    <col min="1553" max="1553" width="15.42578125" style="110" customWidth="1"/>
    <col min="1554" max="1554" width="16.85546875" style="110" customWidth="1"/>
    <col min="1555" max="1555" width="16.28515625" style="110" customWidth="1"/>
    <col min="1556" max="1556" width="15.5703125" style="110" customWidth="1"/>
    <col min="1557" max="1557" width="17" style="110" customWidth="1"/>
    <col min="1558" max="1558" width="17.28515625" style="110" customWidth="1"/>
    <col min="1559" max="1559" width="16.5703125" style="110" customWidth="1"/>
    <col min="1560" max="1560" width="17.5703125" style="110" bestFit="1" customWidth="1"/>
    <col min="1561" max="1563" width="17.5703125" style="110" customWidth="1"/>
    <col min="1564" max="1564" width="16.5703125" style="110" customWidth="1"/>
    <col min="1565" max="1565" width="19.42578125" style="110" customWidth="1"/>
    <col min="1566" max="1566" width="23.85546875" style="110" customWidth="1"/>
    <col min="1567" max="1567" width="18.28515625" style="110" customWidth="1"/>
    <col min="1568" max="1568" width="17.7109375" style="110" customWidth="1"/>
    <col min="1569" max="1569" width="12" style="110" customWidth="1"/>
    <col min="1570" max="1789" width="9.140625" style="110"/>
    <col min="1790" max="1790" width="11" style="110" customWidth="1"/>
    <col min="1791" max="1791" width="18.42578125" style="110" customWidth="1"/>
    <col min="1792" max="1792" width="15.28515625" style="110" customWidth="1"/>
    <col min="1793" max="1793" width="21.85546875" style="110" customWidth="1"/>
    <col min="1794" max="1794" width="26.42578125" style="110" customWidth="1"/>
    <col min="1795" max="1795" width="11.85546875" style="110" customWidth="1"/>
    <col min="1796" max="1796" width="13.140625" style="110" customWidth="1"/>
    <col min="1797" max="1797" width="12.28515625" style="110" customWidth="1"/>
    <col min="1798" max="1798" width="21.85546875" style="110" customWidth="1"/>
    <col min="1799" max="1799" width="20.85546875" style="110" customWidth="1"/>
    <col min="1800" max="1800" width="18.85546875" style="110" customWidth="1"/>
    <col min="1801" max="1801" width="22.5703125" style="110" customWidth="1"/>
    <col min="1802" max="1802" width="19.42578125" style="110" customWidth="1"/>
    <col min="1803" max="1803" width="16" style="110" customWidth="1"/>
    <col min="1804" max="1804" width="20.42578125" style="110" customWidth="1"/>
    <col min="1805" max="1805" width="15.42578125" style="110" customWidth="1"/>
    <col min="1806" max="1806" width="15.140625" style="110" customWidth="1"/>
    <col min="1807" max="1807" width="15.42578125" style="110" customWidth="1"/>
    <col min="1808" max="1808" width="16.28515625" style="110" customWidth="1"/>
    <col min="1809" max="1809" width="15.42578125" style="110" customWidth="1"/>
    <col min="1810" max="1810" width="16.85546875" style="110" customWidth="1"/>
    <col min="1811" max="1811" width="16.28515625" style="110" customWidth="1"/>
    <col min="1812" max="1812" width="15.5703125" style="110" customWidth="1"/>
    <col min="1813" max="1813" width="17" style="110" customWidth="1"/>
    <col min="1814" max="1814" width="17.28515625" style="110" customWidth="1"/>
    <col min="1815" max="1815" width="16.5703125" style="110" customWidth="1"/>
    <col min="1816" max="1816" width="17.5703125" style="110" bestFit="1" customWidth="1"/>
    <col min="1817" max="1819" width="17.5703125" style="110" customWidth="1"/>
    <col min="1820" max="1820" width="16.5703125" style="110" customWidth="1"/>
    <col min="1821" max="1821" width="19.42578125" style="110" customWidth="1"/>
    <col min="1822" max="1822" width="23.85546875" style="110" customWidth="1"/>
    <col min="1823" max="1823" width="18.28515625" style="110" customWidth="1"/>
    <col min="1824" max="1824" width="17.7109375" style="110" customWidth="1"/>
    <col min="1825" max="1825" width="12" style="110" customWidth="1"/>
    <col min="1826" max="2045" width="9.140625" style="110"/>
    <col min="2046" max="2046" width="11" style="110" customWidth="1"/>
    <col min="2047" max="2047" width="18.42578125" style="110" customWidth="1"/>
    <col min="2048" max="2048" width="15.28515625" style="110" customWidth="1"/>
    <col min="2049" max="2049" width="21.85546875" style="110" customWidth="1"/>
    <col min="2050" max="2050" width="26.42578125" style="110" customWidth="1"/>
    <col min="2051" max="2051" width="11.85546875" style="110" customWidth="1"/>
    <col min="2052" max="2052" width="13.140625" style="110" customWidth="1"/>
    <col min="2053" max="2053" width="12.28515625" style="110" customWidth="1"/>
    <col min="2054" max="2054" width="21.85546875" style="110" customWidth="1"/>
    <col min="2055" max="2055" width="20.85546875" style="110" customWidth="1"/>
    <col min="2056" max="2056" width="18.85546875" style="110" customWidth="1"/>
    <col min="2057" max="2057" width="22.5703125" style="110" customWidth="1"/>
    <col min="2058" max="2058" width="19.42578125" style="110" customWidth="1"/>
    <col min="2059" max="2059" width="16" style="110" customWidth="1"/>
    <col min="2060" max="2060" width="20.42578125" style="110" customWidth="1"/>
    <col min="2061" max="2061" width="15.42578125" style="110" customWidth="1"/>
    <col min="2062" max="2062" width="15.140625" style="110" customWidth="1"/>
    <col min="2063" max="2063" width="15.42578125" style="110" customWidth="1"/>
    <col min="2064" max="2064" width="16.28515625" style="110" customWidth="1"/>
    <col min="2065" max="2065" width="15.42578125" style="110" customWidth="1"/>
    <col min="2066" max="2066" width="16.85546875" style="110" customWidth="1"/>
    <col min="2067" max="2067" width="16.28515625" style="110" customWidth="1"/>
    <col min="2068" max="2068" width="15.5703125" style="110" customWidth="1"/>
    <col min="2069" max="2069" width="17" style="110" customWidth="1"/>
    <col min="2070" max="2070" width="17.28515625" style="110" customWidth="1"/>
    <col min="2071" max="2071" width="16.5703125" style="110" customWidth="1"/>
    <col min="2072" max="2072" width="17.5703125" style="110" bestFit="1" customWidth="1"/>
    <col min="2073" max="2075" width="17.5703125" style="110" customWidth="1"/>
    <col min="2076" max="2076" width="16.5703125" style="110" customWidth="1"/>
    <col min="2077" max="2077" width="19.42578125" style="110" customWidth="1"/>
    <col min="2078" max="2078" width="23.85546875" style="110" customWidth="1"/>
    <col min="2079" max="2079" width="18.28515625" style="110" customWidth="1"/>
    <col min="2080" max="2080" width="17.7109375" style="110" customWidth="1"/>
    <col min="2081" max="2081" width="12" style="110" customWidth="1"/>
    <col min="2082" max="2301" width="9.140625" style="110"/>
    <col min="2302" max="2302" width="11" style="110" customWidth="1"/>
    <col min="2303" max="2303" width="18.42578125" style="110" customWidth="1"/>
    <col min="2304" max="2304" width="15.28515625" style="110" customWidth="1"/>
    <col min="2305" max="2305" width="21.85546875" style="110" customWidth="1"/>
    <col min="2306" max="2306" width="26.42578125" style="110" customWidth="1"/>
    <col min="2307" max="2307" width="11.85546875" style="110" customWidth="1"/>
    <col min="2308" max="2308" width="13.140625" style="110" customWidth="1"/>
    <col min="2309" max="2309" width="12.28515625" style="110" customWidth="1"/>
    <col min="2310" max="2310" width="21.85546875" style="110" customWidth="1"/>
    <col min="2311" max="2311" width="20.85546875" style="110" customWidth="1"/>
    <col min="2312" max="2312" width="18.85546875" style="110" customWidth="1"/>
    <col min="2313" max="2313" width="22.5703125" style="110" customWidth="1"/>
    <col min="2314" max="2314" width="19.42578125" style="110" customWidth="1"/>
    <col min="2315" max="2315" width="16" style="110" customWidth="1"/>
    <col min="2316" max="2316" width="20.42578125" style="110" customWidth="1"/>
    <col min="2317" max="2317" width="15.42578125" style="110" customWidth="1"/>
    <col min="2318" max="2318" width="15.140625" style="110" customWidth="1"/>
    <col min="2319" max="2319" width="15.42578125" style="110" customWidth="1"/>
    <col min="2320" max="2320" width="16.28515625" style="110" customWidth="1"/>
    <col min="2321" max="2321" width="15.42578125" style="110" customWidth="1"/>
    <col min="2322" max="2322" width="16.85546875" style="110" customWidth="1"/>
    <col min="2323" max="2323" width="16.28515625" style="110" customWidth="1"/>
    <col min="2324" max="2324" width="15.5703125" style="110" customWidth="1"/>
    <col min="2325" max="2325" width="17" style="110" customWidth="1"/>
    <col min="2326" max="2326" width="17.28515625" style="110" customWidth="1"/>
    <col min="2327" max="2327" width="16.5703125" style="110" customWidth="1"/>
    <col min="2328" max="2328" width="17.5703125" style="110" bestFit="1" customWidth="1"/>
    <col min="2329" max="2331" width="17.5703125" style="110" customWidth="1"/>
    <col min="2332" max="2332" width="16.5703125" style="110" customWidth="1"/>
    <col min="2333" max="2333" width="19.42578125" style="110" customWidth="1"/>
    <col min="2334" max="2334" width="23.85546875" style="110" customWidth="1"/>
    <col min="2335" max="2335" width="18.28515625" style="110" customWidth="1"/>
    <col min="2336" max="2336" width="17.7109375" style="110" customWidth="1"/>
    <col min="2337" max="2337" width="12" style="110" customWidth="1"/>
    <col min="2338" max="2557" width="9.140625" style="110"/>
    <col min="2558" max="2558" width="11" style="110" customWidth="1"/>
    <col min="2559" max="2559" width="18.42578125" style="110" customWidth="1"/>
    <col min="2560" max="2560" width="15.28515625" style="110" customWidth="1"/>
    <col min="2561" max="2561" width="21.85546875" style="110" customWidth="1"/>
    <col min="2562" max="2562" width="26.42578125" style="110" customWidth="1"/>
    <col min="2563" max="2563" width="11.85546875" style="110" customWidth="1"/>
    <col min="2564" max="2564" width="13.140625" style="110" customWidth="1"/>
    <col min="2565" max="2565" width="12.28515625" style="110" customWidth="1"/>
    <col min="2566" max="2566" width="21.85546875" style="110" customWidth="1"/>
    <col min="2567" max="2567" width="20.85546875" style="110" customWidth="1"/>
    <col min="2568" max="2568" width="18.85546875" style="110" customWidth="1"/>
    <col min="2569" max="2569" width="22.5703125" style="110" customWidth="1"/>
    <col min="2570" max="2570" width="19.42578125" style="110" customWidth="1"/>
    <col min="2571" max="2571" width="16" style="110" customWidth="1"/>
    <col min="2572" max="2572" width="20.42578125" style="110" customWidth="1"/>
    <col min="2573" max="2573" width="15.42578125" style="110" customWidth="1"/>
    <col min="2574" max="2574" width="15.140625" style="110" customWidth="1"/>
    <col min="2575" max="2575" width="15.42578125" style="110" customWidth="1"/>
    <col min="2576" max="2576" width="16.28515625" style="110" customWidth="1"/>
    <col min="2577" max="2577" width="15.42578125" style="110" customWidth="1"/>
    <col min="2578" max="2578" width="16.85546875" style="110" customWidth="1"/>
    <col min="2579" max="2579" width="16.28515625" style="110" customWidth="1"/>
    <col min="2580" max="2580" width="15.5703125" style="110" customWidth="1"/>
    <col min="2581" max="2581" width="17" style="110" customWidth="1"/>
    <col min="2582" max="2582" width="17.28515625" style="110" customWidth="1"/>
    <col min="2583" max="2583" width="16.5703125" style="110" customWidth="1"/>
    <col min="2584" max="2584" width="17.5703125" style="110" bestFit="1" customWidth="1"/>
    <col min="2585" max="2587" width="17.5703125" style="110" customWidth="1"/>
    <col min="2588" max="2588" width="16.5703125" style="110" customWidth="1"/>
    <col min="2589" max="2589" width="19.42578125" style="110" customWidth="1"/>
    <col min="2590" max="2590" width="23.85546875" style="110" customWidth="1"/>
    <col min="2591" max="2591" width="18.28515625" style="110" customWidth="1"/>
    <col min="2592" max="2592" width="17.7109375" style="110" customWidth="1"/>
    <col min="2593" max="2593" width="12" style="110" customWidth="1"/>
    <col min="2594" max="2813" width="9.140625" style="110"/>
    <col min="2814" max="2814" width="11" style="110" customWidth="1"/>
    <col min="2815" max="2815" width="18.42578125" style="110" customWidth="1"/>
    <col min="2816" max="2816" width="15.28515625" style="110" customWidth="1"/>
    <col min="2817" max="2817" width="21.85546875" style="110" customWidth="1"/>
    <col min="2818" max="2818" width="26.42578125" style="110" customWidth="1"/>
    <col min="2819" max="2819" width="11.85546875" style="110" customWidth="1"/>
    <col min="2820" max="2820" width="13.140625" style="110" customWidth="1"/>
    <col min="2821" max="2821" width="12.28515625" style="110" customWidth="1"/>
    <col min="2822" max="2822" width="21.85546875" style="110" customWidth="1"/>
    <col min="2823" max="2823" width="20.85546875" style="110" customWidth="1"/>
    <col min="2824" max="2824" width="18.85546875" style="110" customWidth="1"/>
    <col min="2825" max="2825" width="22.5703125" style="110" customWidth="1"/>
    <col min="2826" max="2826" width="19.42578125" style="110" customWidth="1"/>
    <col min="2827" max="2827" width="16" style="110" customWidth="1"/>
    <col min="2828" max="2828" width="20.42578125" style="110" customWidth="1"/>
    <col min="2829" max="2829" width="15.42578125" style="110" customWidth="1"/>
    <col min="2830" max="2830" width="15.140625" style="110" customWidth="1"/>
    <col min="2831" max="2831" width="15.42578125" style="110" customWidth="1"/>
    <col min="2832" max="2832" width="16.28515625" style="110" customWidth="1"/>
    <col min="2833" max="2833" width="15.42578125" style="110" customWidth="1"/>
    <col min="2834" max="2834" width="16.85546875" style="110" customWidth="1"/>
    <col min="2835" max="2835" width="16.28515625" style="110" customWidth="1"/>
    <col min="2836" max="2836" width="15.5703125" style="110" customWidth="1"/>
    <col min="2837" max="2837" width="17" style="110" customWidth="1"/>
    <col min="2838" max="2838" width="17.28515625" style="110" customWidth="1"/>
    <col min="2839" max="2839" width="16.5703125" style="110" customWidth="1"/>
    <col min="2840" max="2840" width="17.5703125" style="110" bestFit="1" customWidth="1"/>
    <col min="2841" max="2843" width="17.5703125" style="110" customWidth="1"/>
    <col min="2844" max="2844" width="16.5703125" style="110" customWidth="1"/>
    <col min="2845" max="2845" width="19.42578125" style="110" customWidth="1"/>
    <col min="2846" max="2846" width="23.85546875" style="110" customWidth="1"/>
    <col min="2847" max="2847" width="18.28515625" style="110" customWidth="1"/>
    <col min="2848" max="2848" width="17.7109375" style="110" customWidth="1"/>
    <col min="2849" max="2849" width="12" style="110" customWidth="1"/>
    <col min="2850" max="3069" width="9.140625" style="110"/>
    <col min="3070" max="3070" width="11" style="110" customWidth="1"/>
    <col min="3071" max="3071" width="18.42578125" style="110" customWidth="1"/>
    <col min="3072" max="3072" width="15.28515625" style="110" customWidth="1"/>
    <col min="3073" max="3073" width="21.85546875" style="110" customWidth="1"/>
    <col min="3074" max="3074" width="26.42578125" style="110" customWidth="1"/>
    <col min="3075" max="3075" width="11.85546875" style="110" customWidth="1"/>
    <col min="3076" max="3076" width="13.140625" style="110" customWidth="1"/>
    <col min="3077" max="3077" width="12.28515625" style="110" customWidth="1"/>
    <col min="3078" max="3078" width="21.85546875" style="110" customWidth="1"/>
    <col min="3079" max="3079" width="20.85546875" style="110" customWidth="1"/>
    <col min="3080" max="3080" width="18.85546875" style="110" customWidth="1"/>
    <col min="3081" max="3081" width="22.5703125" style="110" customWidth="1"/>
    <col min="3082" max="3082" width="19.42578125" style="110" customWidth="1"/>
    <col min="3083" max="3083" width="16" style="110" customWidth="1"/>
    <col min="3084" max="3084" width="20.42578125" style="110" customWidth="1"/>
    <col min="3085" max="3085" width="15.42578125" style="110" customWidth="1"/>
    <col min="3086" max="3086" width="15.140625" style="110" customWidth="1"/>
    <col min="3087" max="3087" width="15.42578125" style="110" customWidth="1"/>
    <col min="3088" max="3088" width="16.28515625" style="110" customWidth="1"/>
    <col min="3089" max="3089" width="15.42578125" style="110" customWidth="1"/>
    <col min="3090" max="3090" width="16.85546875" style="110" customWidth="1"/>
    <col min="3091" max="3091" width="16.28515625" style="110" customWidth="1"/>
    <col min="3092" max="3092" width="15.5703125" style="110" customWidth="1"/>
    <col min="3093" max="3093" width="17" style="110" customWidth="1"/>
    <col min="3094" max="3094" width="17.28515625" style="110" customWidth="1"/>
    <col min="3095" max="3095" width="16.5703125" style="110" customWidth="1"/>
    <col min="3096" max="3096" width="17.5703125" style="110" bestFit="1" customWidth="1"/>
    <col min="3097" max="3099" width="17.5703125" style="110" customWidth="1"/>
    <col min="3100" max="3100" width="16.5703125" style="110" customWidth="1"/>
    <col min="3101" max="3101" width="19.42578125" style="110" customWidth="1"/>
    <col min="3102" max="3102" width="23.85546875" style="110" customWidth="1"/>
    <col min="3103" max="3103" width="18.28515625" style="110" customWidth="1"/>
    <col min="3104" max="3104" width="17.7109375" style="110" customWidth="1"/>
    <col min="3105" max="3105" width="12" style="110" customWidth="1"/>
    <col min="3106" max="3325" width="9.140625" style="110"/>
    <col min="3326" max="3326" width="11" style="110" customWidth="1"/>
    <col min="3327" max="3327" width="18.42578125" style="110" customWidth="1"/>
    <col min="3328" max="3328" width="15.28515625" style="110" customWidth="1"/>
    <col min="3329" max="3329" width="21.85546875" style="110" customWidth="1"/>
    <col min="3330" max="3330" width="26.42578125" style="110" customWidth="1"/>
    <col min="3331" max="3331" width="11.85546875" style="110" customWidth="1"/>
    <col min="3332" max="3332" width="13.140625" style="110" customWidth="1"/>
    <col min="3333" max="3333" width="12.28515625" style="110" customWidth="1"/>
    <col min="3334" max="3334" width="21.85546875" style="110" customWidth="1"/>
    <col min="3335" max="3335" width="20.85546875" style="110" customWidth="1"/>
    <col min="3336" max="3336" width="18.85546875" style="110" customWidth="1"/>
    <col min="3337" max="3337" width="22.5703125" style="110" customWidth="1"/>
    <col min="3338" max="3338" width="19.42578125" style="110" customWidth="1"/>
    <col min="3339" max="3339" width="16" style="110" customWidth="1"/>
    <col min="3340" max="3340" width="20.42578125" style="110" customWidth="1"/>
    <col min="3341" max="3341" width="15.42578125" style="110" customWidth="1"/>
    <col min="3342" max="3342" width="15.140625" style="110" customWidth="1"/>
    <col min="3343" max="3343" width="15.42578125" style="110" customWidth="1"/>
    <col min="3344" max="3344" width="16.28515625" style="110" customWidth="1"/>
    <col min="3345" max="3345" width="15.42578125" style="110" customWidth="1"/>
    <col min="3346" max="3346" width="16.85546875" style="110" customWidth="1"/>
    <col min="3347" max="3347" width="16.28515625" style="110" customWidth="1"/>
    <col min="3348" max="3348" width="15.5703125" style="110" customWidth="1"/>
    <col min="3349" max="3349" width="17" style="110" customWidth="1"/>
    <col min="3350" max="3350" width="17.28515625" style="110" customWidth="1"/>
    <col min="3351" max="3351" width="16.5703125" style="110" customWidth="1"/>
    <col min="3352" max="3352" width="17.5703125" style="110" bestFit="1" customWidth="1"/>
    <col min="3353" max="3355" width="17.5703125" style="110" customWidth="1"/>
    <col min="3356" max="3356" width="16.5703125" style="110" customWidth="1"/>
    <col min="3357" max="3357" width="19.42578125" style="110" customWidth="1"/>
    <col min="3358" max="3358" width="23.85546875" style="110" customWidth="1"/>
    <col min="3359" max="3359" width="18.28515625" style="110" customWidth="1"/>
    <col min="3360" max="3360" width="17.7109375" style="110" customWidth="1"/>
    <col min="3361" max="3361" width="12" style="110" customWidth="1"/>
    <col min="3362" max="3581" width="9.140625" style="110"/>
    <col min="3582" max="3582" width="11" style="110" customWidth="1"/>
    <col min="3583" max="3583" width="18.42578125" style="110" customWidth="1"/>
    <col min="3584" max="3584" width="15.28515625" style="110" customWidth="1"/>
    <col min="3585" max="3585" width="21.85546875" style="110" customWidth="1"/>
    <col min="3586" max="3586" width="26.42578125" style="110" customWidth="1"/>
    <col min="3587" max="3587" width="11.85546875" style="110" customWidth="1"/>
    <col min="3588" max="3588" width="13.140625" style="110" customWidth="1"/>
    <col min="3589" max="3589" width="12.28515625" style="110" customWidth="1"/>
    <col min="3590" max="3590" width="21.85546875" style="110" customWidth="1"/>
    <col min="3591" max="3591" width="20.85546875" style="110" customWidth="1"/>
    <col min="3592" max="3592" width="18.85546875" style="110" customWidth="1"/>
    <col min="3593" max="3593" width="22.5703125" style="110" customWidth="1"/>
    <col min="3594" max="3594" width="19.42578125" style="110" customWidth="1"/>
    <col min="3595" max="3595" width="16" style="110" customWidth="1"/>
    <col min="3596" max="3596" width="20.42578125" style="110" customWidth="1"/>
    <col min="3597" max="3597" width="15.42578125" style="110" customWidth="1"/>
    <col min="3598" max="3598" width="15.140625" style="110" customWidth="1"/>
    <col min="3599" max="3599" width="15.42578125" style="110" customWidth="1"/>
    <col min="3600" max="3600" width="16.28515625" style="110" customWidth="1"/>
    <col min="3601" max="3601" width="15.42578125" style="110" customWidth="1"/>
    <col min="3602" max="3602" width="16.85546875" style="110" customWidth="1"/>
    <col min="3603" max="3603" width="16.28515625" style="110" customWidth="1"/>
    <col min="3604" max="3604" width="15.5703125" style="110" customWidth="1"/>
    <col min="3605" max="3605" width="17" style="110" customWidth="1"/>
    <col min="3606" max="3606" width="17.28515625" style="110" customWidth="1"/>
    <col min="3607" max="3607" width="16.5703125" style="110" customWidth="1"/>
    <col min="3608" max="3608" width="17.5703125" style="110" bestFit="1" customWidth="1"/>
    <col min="3609" max="3611" width="17.5703125" style="110" customWidth="1"/>
    <col min="3612" max="3612" width="16.5703125" style="110" customWidth="1"/>
    <col min="3613" max="3613" width="19.42578125" style="110" customWidth="1"/>
    <col min="3614" max="3614" width="23.85546875" style="110" customWidth="1"/>
    <col min="3615" max="3615" width="18.28515625" style="110" customWidth="1"/>
    <col min="3616" max="3616" width="17.7109375" style="110" customWidth="1"/>
    <col min="3617" max="3617" width="12" style="110" customWidth="1"/>
    <col min="3618" max="3837" width="9.140625" style="110"/>
    <col min="3838" max="3838" width="11" style="110" customWidth="1"/>
    <col min="3839" max="3839" width="18.42578125" style="110" customWidth="1"/>
    <col min="3840" max="3840" width="15.28515625" style="110" customWidth="1"/>
    <col min="3841" max="3841" width="21.85546875" style="110" customWidth="1"/>
    <col min="3842" max="3842" width="26.42578125" style="110" customWidth="1"/>
    <col min="3843" max="3843" width="11.85546875" style="110" customWidth="1"/>
    <col min="3844" max="3844" width="13.140625" style="110" customWidth="1"/>
    <col min="3845" max="3845" width="12.28515625" style="110" customWidth="1"/>
    <col min="3846" max="3846" width="21.85546875" style="110" customWidth="1"/>
    <col min="3847" max="3847" width="20.85546875" style="110" customWidth="1"/>
    <col min="3848" max="3848" width="18.85546875" style="110" customWidth="1"/>
    <col min="3849" max="3849" width="22.5703125" style="110" customWidth="1"/>
    <col min="3850" max="3850" width="19.42578125" style="110" customWidth="1"/>
    <col min="3851" max="3851" width="16" style="110" customWidth="1"/>
    <col min="3852" max="3852" width="20.42578125" style="110" customWidth="1"/>
    <col min="3853" max="3853" width="15.42578125" style="110" customWidth="1"/>
    <col min="3854" max="3854" width="15.140625" style="110" customWidth="1"/>
    <col min="3855" max="3855" width="15.42578125" style="110" customWidth="1"/>
    <col min="3856" max="3856" width="16.28515625" style="110" customWidth="1"/>
    <col min="3857" max="3857" width="15.42578125" style="110" customWidth="1"/>
    <col min="3858" max="3858" width="16.85546875" style="110" customWidth="1"/>
    <col min="3859" max="3859" width="16.28515625" style="110" customWidth="1"/>
    <col min="3860" max="3860" width="15.5703125" style="110" customWidth="1"/>
    <col min="3861" max="3861" width="17" style="110" customWidth="1"/>
    <col min="3862" max="3862" width="17.28515625" style="110" customWidth="1"/>
    <col min="3863" max="3863" width="16.5703125" style="110" customWidth="1"/>
    <col min="3864" max="3864" width="17.5703125" style="110" bestFit="1" customWidth="1"/>
    <col min="3865" max="3867" width="17.5703125" style="110" customWidth="1"/>
    <col min="3868" max="3868" width="16.5703125" style="110" customWidth="1"/>
    <col min="3869" max="3869" width="19.42578125" style="110" customWidth="1"/>
    <col min="3870" max="3870" width="23.85546875" style="110" customWidth="1"/>
    <col min="3871" max="3871" width="18.28515625" style="110" customWidth="1"/>
    <col min="3872" max="3872" width="17.7109375" style="110" customWidth="1"/>
    <col min="3873" max="3873" width="12" style="110" customWidth="1"/>
    <col min="3874" max="4093" width="9.140625" style="110"/>
    <col min="4094" max="4094" width="11" style="110" customWidth="1"/>
    <col min="4095" max="4095" width="18.42578125" style="110" customWidth="1"/>
    <col min="4096" max="4096" width="15.28515625" style="110" customWidth="1"/>
    <col min="4097" max="4097" width="21.85546875" style="110" customWidth="1"/>
    <col min="4098" max="4098" width="26.42578125" style="110" customWidth="1"/>
    <col min="4099" max="4099" width="11.85546875" style="110" customWidth="1"/>
    <col min="4100" max="4100" width="13.140625" style="110" customWidth="1"/>
    <col min="4101" max="4101" width="12.28515625" style="110" customWidth="1"/>
    <col min="4102" max="4102" width="21.85546875" style="110" customWidth="1"/>
    <col min="4103" max="4103" width="20.85546875" style="110" customWidth="1"/>
    <col min="4104" max="4104" width="18.85546875" style="110" customWidth="1"/>
    <col min="4105" max="4105" width="22.5703125" style="110" customWidth="1"/>
    <col min="4106" max="4106" width="19.42578125" style="110" customWidth="1"/>
    <col min="4107" max="4107" width="16" style="110" customWidth="1"/>
    <col min="4108" max="4108" width="20.42578125" style="110" customWidth="1"/>
    <col min="4109" max="4109" width="15.42578125" style="110" customWidth="1"/>
    <col min="4110" max="4110" width="15.140625" style="110" customWidth="1"/>
    <col min="4111" max="4111" width="15.42578125" style="110" customWidth="1"/>
    <col min="4112" max="4112" width="16.28515625" style="110" customWidth="1"/>
    <col min="4113" max="4113" width="15.42578125" style="110" customWidth="1"/>
    <col min="4114" max="4114" width="16.85546875" style="110" customWidth="1"/>
    <col min="4115" max="4115" width="16.28515625" style="110" customWidth="1"/>
    <col min="4116" max="4116" width="15.5703125" style="110" customWidth="1"/>
    <col min="4117" max="4117" width="17" style="110" customWidth="1"/>
    <col min="4118" max="4118" width="17.28515625" style="110" customWidth="1"/>
    <col min="4119" max="4119" width="16.5703125" style="110" customWidth="1"/>
    <col min="4120" max="4120" width="17.5703125" style="110" bestFit="1" customWidth="1"/>
    <col min="4121" max="4123" width="17.5703125" style="110" customWidth="1"/>
    <col min="4124" max="4124" width="16.5703125" style="110" customWidth="1"/>
    <col min="4125" max="4125" width="19.42578125" style="110" customWidth="1"/>
    <col min="4126" max="4126" width="23.85546875" style="110" customWidth="1"/>
    <col min="4127" max="4127" width="18.28515625" style="110" customWidth="1"/>
    <col min="4128" max="4128" width="17.7109375" style="110" customWidth="1"/>
    <col min="4129" max="4129" width="12" style="110" customWidth="1"/>
    <col min="4130" max="4349" width="9.140625" style="110"/>
    <col min="4350" max="4350" width="11" style="110" customWidth="1"/>
    <col min="4351" max="4351" width="18.42578125" style="110" customWidth="1"/>
    <col min="4352" max="4352" width="15.28515625" style="110" customWidth="1"/>
    <col min="4353" max="4353" width="21.85546875" style="110" customWidth="1"/>
    <col min="4354" max="4354" width="26.42578125" style="110" customWidth="1"/>
    <col min="4355" max="4355" width="11.85546875" style="110" customWidth="1"/>
    <col min="4356" max="4356" width="13.140625" style="110" customWidth="1"/>
    <col min="4357" max="4357" width="12.28515625" style="110" customWidth="1"/>
    <col min="4358" max="4358" width="21.85546875" style="110" customWidth="1"/>
    <col min="4359" max="4359" width="20.85546875" style="110" customWidth="1"/>
    <col min="4360" max="4360" width="18.85546875" style="110" customWidth="1"/>
    <col min="4361" max="4361" width="22.5703125" style="110" customWidth="1"/>
    <col min="4362" max="4362" width="19.42578125" style="110" customWidth="1"/>
    <col min="4363" max="4363" width="16" style="110" customWidth="1"/>
    <col min="4364" max="4364" width="20.42578125" style="110" customWidth="1"/>
    <col min="4365" max="4365" width="15.42578125" style="110" customWidth="1"/>
    <col min="4366" max="4366" width="15.140625" style="110" customWidth="1"/>
    <col min="4367" max="4367" width="15.42578125" style="110" customWidth="1"/>
    <col min="4368" max="4368" width="16.28515625" style="110" customWidth="1"/>
    <col min="4369" max="4369" width="15.42578125" style="110" customWidth="1"/>
    <col min="4370" max="4370" width="16.85546875" style="110" customWidth="1"/>
    <col min="4371" max="4371" width="16.28515625" style="110" customWidth="1"/>
    <col min="4372" max="4372" width="15.5703125" style="110" customWidth="1"/>
    <col min="4373" max="4373" width="17" style="110" customWidth="1"/>
    <col min="4374" max="4374" width="17.28515625" style="110" customWidth="1"/>
    <col min="4375" max="4375" width="16.5703125" style="110" customWidth="1"/>
    <col min="4376" max="4376" width="17.5703125" style="110" bestFit="1" customWidth="1"/>
    <col min="4377" max="4379" width="17.5703125" style="110" customWidth="1"/>
    <col min="4380" max="4380" width="16.5703125" style="110" customWidth="1"/>
    <col min="4381" max="4381" width="19.42578125" style="110" customWidth="1"/>
    <col min="4382" max="4382" width="23.85546875" style="110" customWidth="1"/>
    <col min="4383" max="4383" width="18.28515625" style="110" customWidth="1"/>
    <col min="4384" max="4384" width="17.7109375" style="110" customWidth="1"/>
    <col min="4385" max="4385" width="12" style="110" customWidth="1"/>
    <col min="4386" max="4605" width="9.140625" style="110"/>
    <col min="4606" max="4606" width="11" style="110" customWidth="1"/>
    <col min="4607" max="4607" width="18.42578125" style="110" customWidth="1"/>
    <col min="4608" max="4608" width="15.28515625" style="110" customWidth="1"/>
    <col min="4609" max="4609" width="21.85546875" style="110" customWidth="1"/>
    <col min="4610" max="4610" width="26.42578125" style="110" customWidth="1"/>
    <col min="4611" max="4611" width="11.85546875" style="110" customWidth="1"/>
    <col min="4612" max="4612" width="13.140625" style="110" customWidth="1"/>
    <col min="4613" max="4613" width="12.28515625" style="110" customWidth="1"/>
    <col min="4614" max="4614" width="21.85546875" style="110" customWidth="1"/>
    <col min="4615" max="4615" width="20.85546875" style="110" customWidth="1"/>
    <col min="4616" max="4616" width="18.85546875" style="110" customWidth="1"/>
    <col min="4617" max="4617" width="22.5703125" style="110" customWidth="1"/>
    <col min="4618" max="4618" width="19.42578125" style="110" customWidth="1"/>
    <col min="4619" max="4619" width="16" style="110" customWidth="1"/>
    <col min="4620" max="4620" width="20.42578125" style="110" customWidth="1"/>
    <col min="4621" max="4621" width="15.42578125" style="110" customWidth="1"/>
    <col min="4622" max="4622" width="15.140625" style="110" customWidth="1"/>
    <col min="4623" max="4623" width="15.42578125" style="110" customWidth="1"/>
    <col min="4624" max="4624" width="16.28515625" style="110" customWidth="1"/>
    <col min="4625" max="4625" width="15.42578125" style="110" customWidth="1"/>
    <col min="4626" max="4626" width="16.85546875" style="110" customWidth="1"/>
    <col min="4627" max="4627" width="16.28515625" style="110" customWidth="1"/>
    <col min="4628" max="4628" width="15.5703125" style="110" customWidth="1"/>
    <col min="4629" max="4629" width="17" style="110" customWidth="1"/>
    <col min="4630" max="4630" width="17.28515625" style="110" customWidth="1"/>
    <col min="4631" max="4631" width="16.5703125" style="110" customWidth="1"/>
    <col min="4632" max="4632" width="17.5703125" style="110" bestFit="1" customWidth="1"/>
    <col min="4633" max="4635" width="17.5703125" style="110" customWidth="1"/>
    <col min="4636" max="4636" width="16.5703125" style="110" customWidth="1"/>
    <col min="4637" max="4637" width="19.42578125" style="110" customWidth="1"/>
    <col min="4638" max="4638" width="23.85546875" style="110" customWidth="1"/>
    <col min="4639" max="4639" width="18.28515625" style="110" customWidth="1"/>
    <col min="4640" max="4640" width="17.7109375" style="110" customWidth="1"/>
    <col min="4641" max="4641" width="12" style="110" customWidth="1"/>
    <col min="4642" max="4861" width="9.140625" style="110"/>
    <col min="4862" max="4862" width="11" style="110" customWidth="1"/>
    <col min="4863" max="4863" width="18.42578125" style="110" customWidth="1"/>
    <col min="4864" max="4864" width="15.28515625" style="110" customWidth="1"/>
    <col min="4865" max="4865" width="21.85546875" style="110" customWidth="1"/>
    <col min="4866" max="4866" width="26.42578125" style="110" customWidth="1"/>
    <col min="4867" max="4867" width="11.85546875" style="110" customWidth="1"/>
    <col min="4868" max="4868" width="13.140625" style="110" customWidth="1"/>
    <col min="4869" max="4869" width="12.28515625" style="110" customWidth="1"/>
    <col min="4870" max="4870" width="21.85546875" style="110" customWidth="1"/>
    <col min="4871" max="4871" width="20.85546875" style="110" customWidth="1"/>
    <col min="4872" max="4872" width="18.85546875" style="110" customWidth="1"/>
    <col min="4873" max="4873" width="22.5703125" style="110" customWidth="1"/>
    <col min="4874" max="4874" width="19.42578125" style="110" customWidth="1"/>
    <col min="4875" max="4875" width="16" style="110" customWidth="1"/>
    <col min="4876" max="4876" width="20.42578125" style="110" customWidth="1"/>
    <col min="4877" max="4877" width="15.42578125" style="110" customWidth="1"/>
    <col min="4878" max="4878" width="15.140625" style="110" customWidth="1"/>
    <col min="4879" max="4879" width="15.42578125" style="110" customWidth="1"/>
    <col min="4880" max="4880" width="16.28515625" style="110" customWidth="1"/>
    <col min="4881" max="4881" width="15.42578125" style="110" customWidth="1"/>
    <col min="4882" max="4882" width="16.85546875" style="110" customWidth="1"/>
    <col min="4883" max="4883" width="16.28515625" style="110" customWidth="1"/>
    <col min="4884" max="4884" width="15.5703125" style="110" customWidth="1"/>
    <col min="4885" max="4885" width="17" style="110" customWidth="1"/>
    <col min="4886" max="4886" width="17.28515625" style="110" customWidth="1"/>
    <col min="4887" max="4887" width="16.5703125" style="110" customWidth="1"/>
    <col min="4888" max="4888" width="17.5703125" style="110" bestFit="1" customWidth="1"/>
    <col min="4889" max="4891" width="17.5703125" style="110" customWidth="1"/>
    <col min="4892" max="4892" width="16.5703125" style="110" customWidth="1"/>
    <col min="4893" max="4893" width="19.42578125" style="110" customWidth="1"/>
    <col min="4894" max="4894" width="23.85546875" style="110" customWidth="1"/>
    <col min="4895" max="4895" width="18.28515625" style="110" customWidth="1"/>
    <col min="4896" max="4896" width="17.7109375" style="110" customWidth="1"/>
    <col min="4897" max="4897" width="12" style="110" customWidth="1"/>
    <col min="4898" max="5117" width="9.140625" style="110"/>
    <col min="5118" max="5118" width="11" style="110" customWidth="1"/>
    <col min="5119" max="5119" width="18.42578125" style="110" customWidth="1"/>
    <col min="5120" max="5120" width="15.28515625" style="110" customWidth="1"/>
    <col min="5121" max="5121" width="21.85546875" style="110" customWidth="1"/>
    <col min="5122" max="5122" width="26.42578125" style="110" customWidth="1"/>
    <col min="5123" max="5123" width="11.85546875" style="110" customWidth="1"/>
    <col min="5124" max="5124" width="13.140625" style="110" customWidth="1"/>
    <col min="5125" max="5125" width="12.28515625" style="110" customWidth="1"/>
    <col min="5126" max="5126" width="21.85546875" style="110" customWidth="1"/>
    <col min="5127" max="5127" width="20.85546875" style="110" customWidth="1"/>
    <col min="5128" max="5128" width="18.85546875" style="110" customWidth="1"/>
    <col min="5129" max="5129" width="22.5703125" style="110" customWidth="1"/>
    <col min="5130" max="5130" width="19.42578125" style="110" customWidth="1"/>
    <col min="5131" max="5131" width="16" style="110" customWidth="1"/>
    <col min="5132" max="5132" width="20.42578125" style="110" customWidth="1"/>
    <col min="5133" max="5133" width="15.42578125" style="110" customWidth="1"/>
    <col min="5134" max="5134" width="15.140625" style="110" customWidth="1"/>
    <col min="5135" max="5135" width="15.42578125" style="110" customWidth="1"/>
    <col min="5136" max="5136" width="16.28515625" style="110" customWidth="1"/>
    <col min="5137" max="5137" width="15.42578125" style="110" customWidth="1"/>
    <col min="5138" max="5138" width="16.85546875" style="110" customWidth="1"/>
    <col min="5139" max="5139" width="16.28515625" style="110" customWidth="1"/>
    <col min="5140" max="5140" width="15.5703125" style="110" customWidth="1"/>
    <col min="5141" max="5141" width="17" style="110" customWidth="1"/>
    <col min="5142" max="5142" width="17.28515625" style="110" customWidth="1"/>
    <col min="5143" max="5143" width="16.5703125" style="110" customWidth="1"/>
    <col min="5144" max="5144" width="17.5703125" style="110" bestFit="1" customWidth="1"/>
    <col min="5145" max="5147" width="17.5703125" style="110" customWidth="1"/>
    <col min="5148" max="5148" width="16.5703125" style="110" customWidth="1"/>
    <col min="5149" max="5149" width="19.42578125" style="110" customWidth="1"/>
    <col min="5150" max="5150" width="23.85546875" style="110" customWidth="1"/>
    <col min="5151" max="5151" width="18.28515625" style="110" customWidth="1"/>
    <col min="5152" max="5152" width="17.7109375" style="110" customWidth="1"/>
    <col min="5153" max="5153" width="12" style="110" customWidth="1"/>
    <col min="5154" max="5373" width="9.140625" style="110"/>
    <col min="5374" max="5374" width="11" style="110" customWidth="1"/>
    <col min="5375" max="5375" width="18.42578125" style="110" customWidth="1"/>
    <col min="5376" max="5376" width="15.28515625" style="110" customWidth="1"/>
    <col min="5377" max="5377" width="21.85546875" style="110" customWidth="1"/>
    <col min="5378" max="5378" width="26.42578125" style="110" customWidth="1"/>
    <col min="5379" max="5379" width="11.85546875" style="110" customWidth="1"/>
    <col min="5380" max="5380" width="13.140625" style="110" customWidth="1"/>
    <col min="5381" max="5381" width="12.28515625" style="110" customWidth="1"/>
    <col min="5382" max="5382" width="21.85546875" style="110" customWidth="1"/>
    <col min="5383" max="5383" width="20.85546875" style="110" customWidth="1"/>
    <col min="5384" max="5384" width="18.85546875" style="110" customWidth="1"/>
    <col min="5385" max="5385" width="22.5703125" style="110" customWidth="1"/>
    <col min="5386" max="5386" width="19.42578125" style="110" customWidth="1"/>
    <col min="5387" max="5387" width="16" style="110" customWidth="1"/>
    <col min="5388" max="5388" width="20.42578125" style="110" customWidth="1"/>
    <col min="5389" max="5389" width="15.42578125" style="110" customWidth="1"/>
    <col min="5390" max="5390" width="15.140625" style="110" customWidth="1"/>
    <col min="5391" max="5391" width="15.42578125" style="110" customWidth="1"/>
    <col min="5392" max="5392" width="16.28515625" style="110" customWidth="1"/>
    <col min="5393" max="5393" width="15.42578125" style="110" customWidth="1"/>
    <col min="5394" max="5394" width="16.85546875" style="110" customWidth="1"/>
    <col min="5395" max="5395" width="16.28515625" style="110" customWidth="1"/>
    <col min="5396" max="5396" width="15.5703125" style="110" customWidth="1"/>
    <col min="5397" max="5397" width="17" style="110" customWidth="1"/>
    <col min="5398" max="5398" width="17.28515625" style="110" customWidth="1"/>
    <col min="5399" max="5399" width="16.5703125" style="110" customWidth="1"/>
    <col min="5400" max="5400" width="17.5703125" style="110" bestFit="1" customWidth="1"/>
    <col min="5401" max="5403" width="17.5703125" style="110" customWidth="1"/>
    <col min="5404" max="5404" width="16.5703125" style="110" customWidth="1"/>
    <col min="5405" max="5405" width="19.42578125" style="110" customWidth="1"/>
    <col min="5406" max="5406" width="23.85546875" style="110" customWidth="1"/>
    <col min="5407" max="5407" width="18.28515625" style="110" customWidth="1"/>
    <col min="5408" max="5408" width="17.7109375" style="110" customWidth="1"/>
    <col min="5409" max="5409" width="12" style="110" customWidth="1"/>
    <col min="5410" max="5629" width="9.140625" style="110"/>
    <col min="5630" max="5630" width="11" style="110" customWidth="1"/>
    <col min="5631" max="5631" width="18.42578125" style="110" customWidth="1"/>
    <col min="5632" max="5632" width="15.28515625" style="110" customWidth="1"/>
    <col min="5633" max="5633" width="21.85546875" style="110" customWidth="1"/>
    <col min="5634" max="5634" width="26.42578125" style="110" customWidth="1"/>
    <col min="5635" max="5635" width="11.85546875" style="110" customWidth="1"/>
    <col min="5636" max="5636" width="13.140625" style="110" customWidth="1"/>
    <col min="5637" max="5637" width="12.28515625" style="110" customWidth="1"/>
    <col min="5638" max="5638" width="21.85546875" style="110" customWidth="1"/>
    <col min="5639" max="5639" width="20.85546875" style="110" customWidth="1"/>
    <col min="5640" max="5640" width="18.85546875" style="110" customWidth="1"/>
    <col min="5641" max="5641" width="22.5703125" style="110" customWidth="1"/>
    <col min="5642" max="5642" width="19.42578125" style="110" customWidth="1"/>
    <col min="5643" max="5643" width="16" style="110" customWidth="1"/>
    <col min="5644" max="5644" width="20.42578125" style="110" customWidth="1"/>
    <col min="5645" max="5645" width="15.42578125" style="110" customWidth="1"/>
    <col min="5646" max="5646" width="15.140625" style="110" customWidth="1"/>
    <col min="5647" max="5647" width="15.42578125" style="110" customWidth="1"/>
    <col min="5648" max="5648" width="16.28515625" style="110" customWidth="1"/>
    <col min="5649" max="5649" width="15.42578125" style="110" customWidth="1"/>
    <col min="5650" max="5650" width="16.85546875" style="110" customWidth="1"/>
    <col min="5651" max="5651" width="16.28515625" style="110" customWidth="1"/>
    <col min="5652" max="5652" width="15.5703125" style="110" customWidth="1"/>
    <col min="5653" max="5653" width="17" style="110" customWidth="1"/>
    <col min="5654" max="5654" width="17.28515625" style="110" customWidth="1"/>
    <col min="5655" max="5655" width="16.5703125" style="110" customWidth="1"/>
    <col min="5656" max="5656" width="17.5703125" style="110" bestFit="1" customWidth="1"/>
    <col min="5657" max="5659" width="17.5703125" style="110" customWidth="1"/>
    <col min="5660" max="5660" width="16.5703125" style="110" customWidth="1"/>
    <col min="5661" max="5661" width="19.42578125" style="110" customWidth="1"/>
    <col min="5662" max="5662" width="23.85546875" style="110" customWidth="1"/>
    <col min="5663" max="5663" width="18.28515625" style="110" customWidth="1"/>
    <col min="5664" max="5664" width="17.7109375" style="110" customWidth="1"/>
    <col min="5665" max="5665" width="12" style="110" customWidth="1"/>
    <col min="5666" max="5885" width="9.140625" style="110"/>
    <col min="5886" max="5886" width="11" style="110" customWidth="1"/>
    <col min="5887" max="5887" width="18.42578125" style="110" customWidth="1"/>
    <col min="5888" max="5888" width="15.28515625" style="110" customWidth="1"/>
    <col min="5889" max="5889" width="21.85546875" style="110" customWidth="1"/>
    <col min="5890" max="5890" width="26.42578125" style="110" customWidth="1"/>
    <col min="5891" max="5891" width="11.85546875" style="110" customWidth="1"/>
    <col min="5892" max="5892" width="13.140625" style="110" customWidth="1"/>
    <col min="5893" max="5893" width="12.28515625" style="110" customWidth="1"/>
    <col min="5894" max="5894" width="21.85546875" style="110" customWidth="1"/>
    <col min="5895" max="5895" width="20.85546875" style="110" customWidth="1"/>
    <col min="5896" max="5896" width="18.85546875" style="110" customWidth="1"/>
    <col min="5897" max="5897" width="22.5703125" style="110" customWidth="1"/>
    <col min="5898" max="5898" width="19.42578125" style="110" customWidth="1"/>
    <col min="5899" max="5899" width="16" style="110" customWidth="1"/>
    <col min="5900" max="5900" width="20.42578125" style="110" customWidth="1"/>
    <col min="5901" max="5901" width="15.42578125" style="110" customWidth="1"/>
    <col min="5902" max="5902" width="15.140625" style="110" customWidth="1"/>
    <col min="5903" max="5903" width="15.42578125" style="110" customWidth="1"/>
    <col min="5904" max="5904" width="16.28515625" style="110" customWidth="1"/>
    <col min="5905" max="5905" width="15.42578125" style="110" customWidth="1"/>
    <col min="5906" max="5906" width="16.85546875" style="110" customWidth="1"/>
    <col min="5907" max="5907" width="16.28515625" style="110" customWidth="1"/>
    <col min="5908" max="5908" width="15.5703125" style="110" customWidth="1"/>
    <col min="5909" max="5909" width="17" style="110" customWidth="1"/>
    <col min="5910" max="5910" width="17.28515625" style="110" customWidth="1"/>
    <col min="5911" max="5911" width="16.5703125" style="110" customWidth="1"/>
    <col min="5912" max="5912" width="17.5703125" style="110" bestFit="1" customWidth="1"/>
    <col min="5913" max="5915" width="17.5703125" style="110" customWidth="1"/>
    <col min="5916" max="5916" width="16.5703125" style="110" customWidth="1"/>
    <col min="5917" max="5917" width="19.42578125" style="110" customWidth="1"/>
    <col min="5918" max="5918" width="23.85546875" style="110" customWidth="1"/>
    <col min="5919" max="5919" width="18.28515625" style="110" customWidth="1"/>
    <col min="5920" max="5920" width="17.7109375" style="110" customWidth="1"/>
    <col min="5921" max="5921" width="12" style="110" customWidth="1"/>
    <col min="5922" max="6141" width="9.140625" style="110"/>
    <col min="6142" max="6142" width="11" style="110" customWidth="1"/>
    <col min="6143" max="6143" width="18.42578125" style="110" customWidth="1"/>
    <col min="6144" max="6144" width="15.28515625" style="110" customWidth="1"/>
    <col min="6145" max="6145" width="21.85546875" style="110" customWidth="1"/>
    <col min="6146" max="6146" width="26.42578125" style="110" customWidth="1"/>
    <col min="6147" max="6147" width="11.85546875" style="110" customWidth="1"/>
    <col min="6148" max="6148" width="13.140625" style="110" customWidth="1"/>
    <col min="6149" max="6149" width="12.28515625" style="110" customWidth="1"/>
    <col min="6150" max="6150" width="21.85546875" style="110" customWidth="1"/>
    <col min="6151" max="6151" width="20.85546875" style="110" customWidth="1"/>
    <col min="6152" max="6152" width="18.85546875" style="110" customWidth="1"/>
    <col min="6153" max="6153" width="22.5703125" style="110" customWidth="1"/>
    <col min="6154" max="6154" width="19.42578125" style="110" customWidth="1"/>
    <col min="6155" max="6155" width="16" style="110" customWidth="1"/>
    <col min="6156" max="6156" width="20.42578125" style="110" customWidth="1"/>
    <col min="6157" max="6157" width="15.42578125" style="110" customWidth="1"/>
    <col min="6158" max="6158" width="15.140625" style="110" customWidth="1"/>
    <col min="6159" max="6159" width="15.42578125" style="110" customWidth="1"/>
    <col min="6160" max="6160" width="16.28515625" style="110" customWidth="1"/>
    <col min="6161" max="6161" width="15.42578125" style="110" customWidth="1"/>
    <col min="6162" max="6162" width="16.85546875" style="110" customWidth="1"/>
    <col min="6163" max="6163" width="16.28515625" style="110" customWidth="1"/>
    <col min="6164" max="6164" width="15.5703125" style="110" customWidth="1"/>
    <col min="6165" max="6165" width="17" style="110" customWidth="1"/>
    <col min="6166" max="6166" width="17.28515625" style="110" customWidth="1"/>
    <col min="6167" max="6167" width="16.5703125" style="110" customWidth="1"/>
    <col min="6168" max="6168" width="17.5703125" style="110" bestFit="1" customWidth="1"/>
    <col min="6169" max="6171" width="17.5703125" style="110" customWidth="1"/>
    <col min="6172" max="6172" width="16.5703125" style="110" customWidth="1"/>
    <col min="6173" max="6173" width="19.42578125" style="110" customWidth="1"/>
    <col min="6174" max="6174" width="23.85546875" style="110" customWidth="1"/>
    <col min="6175" max="6175" width="18.28515625" style="110" customWidth="1"/>
    <col min="6176" max="6176" width="17.7109375" style="110" customWidth="1"/>
    <col min="6177" max="6177" width="12" style="110" customWidth="1"/>
    <col min="6178" max="6397" width="9.140625" style="110"/>
    <col min="6398" max="6398" width="11" style="110" customWidth="1"/>
    <col min="6399" max="6399" width="18.42578125" style="110" customWidth="1"/>
    <col min="6400" max="6400" width="15.28515625" style="110" customWidth="1"/>
    <col min="6401" max="6401" width="21.85546875" style="110" customWidth="1"/>
    <col min="6402" max="6402" width="26.42578125" style="110" customWidth="1"/>
    <col min="6403" max="6403" width="11.85546875" style="110" customWidth="1"/>
    <col min="6404" max="6404" width="13.140625" style="110" customWidth="1"/>
    <col min="6405" max="6405" width="12.28515625" style="110" customWidth="1"/>
    <col min="6406" max="6406" width="21.85546875" style="110" customWidth="1"/>
    <col min="6407" max="6407" width="20.85546875" style="110" customWidth="1"/>
    <col min="6408" max="6408" width="18.85546875" style="110" customWidth="1"/>
    <col min="6409" max="6409" width="22.5703125" style="110" customWidth="1"/>
    <col min="6410" max="6410" width="19.42578125" style="110" customWidth="1"/>
    <col min="6411" max="6411" width="16" style="110" customWidth="1"/>
    <col min="6412" max="6412" width="20.42578125" style="110" customWidth="1"/>
    <col min="6413" max="6413" width="15.42578125" style="110" customWidth="1"/>
    <col min="6414" max="6414" width="15.140625" style="110" customWidth="1"/>
    <col min="6415" max="6415" width="15.42578125" style="110" customWidth="1"/>
    <col min="6416" max="6416" width="16.28515625" style="110" customWidth="1"/>
    <col min="6417" max="6417" width="15.42578125" style="110" customWidth="1"/>
    <col min="6418" max="6418" width="16.85546875" style="110" customWidth="1"/>
    <col min="6419" max="6419" width="16.28515625" style="110" customWidth="1"/>
    <col min="6420" max="6420" width="15.5703125" style="110" customWidth="1"/>
    <col min="6421" max="6421" width="17" style="110" customWidth="1"/>
    <col min="6422" max="6422" width="17.28515625" style="110" customWidth="1"/>
    <col min="6423" max="6423" width="16.5703125" style="110" customWidth="1"/>
    <col min="6424" max="6424" width="17.5703125" style="110" bestFit="1" customWidth="1"/>
    <col min="6425" max="6427" width="17.5703125" style="110" customWidth="1"/>
    <col min="6428" max="6428" width="16.5703125" style="110" customWidth="1"/>
    <col min="6429" max="6429" width="19.42578125" style="110" customWidth="1"/>
    <col min="6430" max="6430" width="23.85546875" style="110" customWidth="1"/>
    <col min="6431" max="6431" width="18.28515625" style="110" customWidth="1"/>
    <col min="6432" max="6432" width="17.7109375" style="110" customWidth="1"/>
    <col min="6433" max="6433" width="12" style="110" customWidth="1"/>
    <col min="6434" max="6653" width="9.140625" style="110"/>
    <col min="6654" max="6654" width="11" style="110" customWidth="1"/>
    <col min="6655" max="6655" width="18.42578125" style="110" customWidth="1"/>
    <col min="6656" max="6656" width="15.28515625" style="110" customWidth="1"/>
    <col min="6657" max="6657" width="21.85546875" style="110" customWidth="1"/>
    <col min="6658" max="6658" width="26.42578125" style="110" customWidth="1"/>
    <col min="6659" max="6659" width="11.85546875" style="110" customWidth="1"/>
    <col min="6660" max="6660" width="13.140625" style="110" customWidth="1"/>
    <col min="6661" max="6661" width="12.28515625" style="110" customWidth="1"/>
    <col min="6662" max="6662" width="21.85546875" style="110" customWidth="1"/>
    <col min="6663" max="6663" width="20.85546875" style="110" customWidth="1"/>
    <col min="6664" max="6664" width="18.85546875" style="110" customWidth="1"/>
    <col min="6665" max="6665" width="22.5703125" style="110" customWidth="1"/>
    <col min="6666" max="6666" width="19.42578125" style="110" customWidth="1"/>
    <col min="6667" max="6667" width="16" style="110" customWidth="1"/>
    <col min="6668" max="6668" width="20.42578125" style="110" customWidth="1"/>
    <col min="6669" max="6669" width="15.42578125" style="110" customWidth="1"/>
    <col min="6670" max="6670" width="15.140625" style="110" customWidth="1"/>
    <col min="6671" max="6671" width="15.42578125" style="110" customWidth="1"/>
    <col min="6672" max="6672" width="16.28515625" style="110" customWidth="1"/>
    <col min="6673" max="6673" width="15.42578125" style="110" customWidth="1"/>
    <col min="6674" max="6674" width="16.85546875" style="110" customWidth="1"/>
    <col min="6675" max="6675" width="16.28515625" style="110" customWidth="1"/>
    <col min="6676" max="6676" width="15.5703125" style="110" customWidth="1"/>
    <col min="6677" max="6677" width="17" style="110" customWidth="1"/>
    <col min="6678" max="6678" width="17.28515625" style="110" customWidth="1"/>
    <col min="6679" max="6679" width="16.5703125" style="110" customWidth="1"/>
    <col min="6680" max="6680" width="17.5703125" style="110" bestFit="1" customWidth="1"/>
    <col min="6681" max="6683" width="17.5703125" style="110" customWidth="1"/>
    <col min="6684" max="6684" width="16.5703125" style="110" customWidth="1"/>
    <col min="6685" max="6685" width="19.42578125" style="110" customWidth="1"/>
    <col min="6686" max="6686" width="23.85546875" style="110" customWidth="1"/>
    <col min="6687" max="6687" width="18.28515625" style="110" customWidth="1"/>
    <col min="6688" max="6688" width="17.7109375" style="110" customWidth="1"/>
    <col min="6689" max="6689" width="12" style="110" customWidth="1"/>
    <col min="6690" max="6909" width="9.140625" style="110"/>
    <col min="6910" max="6910" width="11" style="110" customWidth="1"/>
    <col min="6911" max="6911" width="18.42578125" style="110" customWidth="1"/>
    <col min="6912" max="6912" width="15.28515625" style="110" customWidth="1"/>
    <col min="6913" max="6913" width="21.85546875" style="110" customWidth="1"/>
    <col min="6914" max="6914" width="26.42578125" style="110" customWidth="1"/>
    <col min="6915" max="6915" width="11.85546875" style="110" customWidth="1"/>
    <col min="6916" max="6916" width="13.140625" style="110" customWidth="1"/>
    <col min="6917" max="6917" width="12.28515625" style="110" customWidth="1"/>
    <col min="6918" max="6918" width="21.85546875" style="110" customWidth="1"/>
    <col min="6919" max="6919" width="20.85546875" style="110" customWidth="1"/>
    <col min="6920" max="6920" width="18.85546875" style="110" customWidth="1"/>
    <col min="6921" max="6921" width="22.5703125" style="110" customWidth="1"/>
    <col min="6922" max="6922" width="19.42578125" style="110" customWidth="1"/>
    <col min="6923" max="6923" width="16" style="110" customWidth="1"/>
    <col min="6924" max="6924" width="20.42578125" style="110" customWidth="1"/>
    <col min="6925" max="6925" width="15.42578125" style="110" customWidth="1"/>
    <col min="6926" max="6926" width="15.140625" style="110" customWidth="1"/>
    <col min="6927" max="6927" width="15.42578125" style="110" customWidth="1"/>
    <col min="6928" max="6928" width="16.28515625" style="110" customWidth="1"/>
    <col min="6929" max="6929" width="15.42578125" style="110" customWidth="1"/>
    <col min="6930" max="6930" width="16.85546875" style="110" customWidth="1"/>
    <col min="6931" max="6931" width="16.28515625" style="110" customWidth="1"/>
    <col min="6932" max="6932" width="15.5703125" style="110" customWidth="1"/>
    <col min="6933" max="6933" width="17" style="110" customWidth="1"/>
    <col min="6934" max="6934" width="17.28515625" style="110" customWidth="1"/>
    <col min="6935" max="6935" width="16.5703125" style="110" customWidth="1"/>
    <col min="6936" max="6936" width="17.5703125" style="110" bestFit="1" customWidth="1"/>
    <col min="6937" max="6939" width="17.5703125" style="110" customWidth="1"/>
    <col min="6940" max="6940" width="16.5703125" style="110" customWidth="1"/>
    <col min="6941" max="6941" width="19.42578125" style="110" customWidth="1"/>
    <col min="6942" max="6942" width="23.85546875" style="110" customWidth="1"/>
    <col min="6943" max="6943" width="18.28515625" style="110" customWidth="1"/>
    <col min="6944" max="6944" width="17.7109375" style="110" customWidth="1"/>
    <col min="6945" max="6945" width="12" style="110" customWidth="1"/>
    <col min="6946" max="7165" width="9.140625" style="110"/>
    <col min="7166" max="7166" width="11" style="110" customWidth="1"/>
    <col min="7167" max="7167" width="18.42578125" style="110" customWidth="1"/>
    <col min="7168" max="7168" width="15.28515625" style="110" customWidth="1"/>
    <col min="7169" max="7169" width="21.85546875" style="110" customWidth="1"/>
    <col min="7170" max="7170" width="26.42578125" style="110" customWidth="1"/>
    <col min="7171" max="7171" width="11.85546875" style="110" customWidth="1"/>
    <col min="7172" max="7172" width="13.140625" style="110" customWidth="1"/>
    <col min="7173" max="7173" width="12.28515625" style="110" customWidth="1"/>
    <col min="7174" max="7174" width="21.85546875" style="110" customWidth="1"/>
    <col min="7175" max="7175" width="20.85546875" style="110" customWidth="1"/>
    <col min="7176" max="7176" width="18.85546875" style="110" customWidth="1"/>
    <col min="7177" max="7177" width="22.5703125" style="110" customWidth="1"/>
    <col min="7178" max="7178" width="19.42578125" style="110" customWidth="1"/>
    <col min="7179" max="7179" width="16" style="110" customWidth="1"/>
    <col min="7180" max="7180" width="20.42578125" style="110" customWidth="1"/>
    <col min="7181" max="7181" width="15.42578125" style="110" customWidth="1"/>
    <col min="7182" max="7182" width="15.140625" style="110" customWidth="1"/>
    <col min="7183" max="7183" width="15.42578125" style="110" customWidth="1"/>
    <col min="7184" max="7184" width="16.28515625" style="110" customWidth="1"/>
    <col min="7185" max="7185" width="15.42578125" style="110" customWidth="1"/>
    <col min="7186" max="7186" width="16.85546875" style="110" customWidth="1"/>
    <col min="7187" max="7187" width="16.28515625" style="110" customWidth="1"/>
    <col min="7188" max="7188" width="15.5703125" style="110" customWidth="1"/>
    <col min="7189" max="7189" width="17" style="110" customWidth="1"/>
    <col min="7190" max="7190" width="17.28515625" style="110" customWidth="1"/>
    <col min="7191" max="7191" width="16.5703125" style="110" customWidth="1"/>
    <col min="7192" max="7192" width="17.5703125" style="110" bestFit="1" customWidth="1"/>
    <col min="7193" max="7195" width="17.5703125" style="110" customWidth="1"/>
    <col min="7196" max="7196" width="16.5703125" style="110" customWidth="1"/>
    <col min="7197" max="7197" width="19.42578125" style="110" customWidth="1"/>
    <col min="7198" max="7198" width="23.85546875" style="110" customWidth="1"/>
    <col min="7199" max="7199" width="18.28515625" style="110" customWidth="1"/>
    <col min="7200" max="7200" width="17.7109375" style="110" customWidth="1"/>
    <col min="7201" max="7201" width="12" style="110" customWidth="1"/>
    <col min="7202" max="7421" width="9.140625" style="110"/>
    <col min="7422" max="7422" width="11" style="110" customWidth="1"/>
    <col min="7423" max="7423" width="18.42578125" style="110" customWidth="1"/>
    <col min="7424" max="7424" width="15.28515625" style="110" customWidth="1"/>
    <col min="7425" max="7425" width="21.85546875" style="110" customWidth="1"/>
    <col min="7426" max="7426" width="26.42578125" style="110" customWidth="1"/>
    <col min="7427" max="7427" width="11.85546875" style="110" customWidth="1"/>
    <col min="7428" max="7428" width="13.140625" style="110" customWidth="1"/>
    <col min="7429" max="7429" width="12.28515625" style="110" customWidth="1"/>
    <col min="7430" max="7430" width="21.85546875" style="110" customWidth="1"/>
    <col min="7431" max="7431" width="20.85546875" style="110" customWidth="1"/>
    <col min="7432" max="7432" width="18.85546875" style="110" customWidth="1"/>
    <col min="7433" max="7433" width="22.5703125" style="110" customWidth="1"/>
    <col min="7434" max="7434" width="19.42578125" style="110" customWidth="1"/>
    <col min="7435" max="7435" width="16" style="110" customWidth="1"/>
    <col min="7436" max="7436" width="20.42578125" style="110" customWidth="1"/>
    <col min="7437" max="7437" width="15.42578125" style="110" customWidth="1"/>
    <col min="7438" max="7438" width="15.140625" style="110" customWidth="1"/>
    <col min="7439" max="7439" width="15.42578125" style="110" customWidth="1"/>
    <col min="7440" max="7440" width="16.28515625" style="110" customWidth="1"/>
    <col min="7441" max="7441" width="15.42578125" style="110" customWidth="1"/>
    <col min="7442" max="7442" width="16.85546875" style="110" customWidth="1"/>
    <col min="7443" max="7443" width="16.28515625" style="110" customWidth="1"/>
    <col min="7444" max="7444" width="15.5703125" style="110" customWidth="1"/>
    <col min="7445" max="7445" width="17" style="110" customWidth="1"/>
    <col min="7446" max="7446" width="17.28515625" style="110" customWidth="1"/>
    <col min="7447" max="7447" width="16.5703125" style="110" customWidth="1"/>
    <col min="7448" max="7448" width="17.5703125" style="110" bestFit="1" customWidth="1"/>
    <col min="7449" max="7451" width="17.5703125" style="110" customWidth="1"/>
    <col min="7452" max="7452" width="16.5703125" style="110" customWidth="1"/>
    <col min="7453" max="7453" width="19.42578125" style="110" customWidth="1"/>
    <col min="7454" max="7454" width="23.85546875" style="110" customWidth="1"/>
    <col min="7455" max="7455" width="18.28515625" style="110" customWidth="1"/>
    <col min="7456" max="7456" width="17.7109375" style="110" customWidth="1"/>
    <col min="7457" max="7457" width="12" style="110" customWidth="1"/>
    <col min="7458" max="7677" width="9.140625" style="110"/>
    <col min="7678" max="7678" width="11" style="110" customWidth="1"/>
    <col min="7679" max="7679" width="18.42578125" style="110" customWidth="1"/>
    <col min="7680" max="7680" width="15.28515625" style="110" customWidth="1"/>
    <col min="7681" max="7681" width="21.85546875" style="110" customWidth="1"/>
    <col min="7682" max="7682" width="26.42578125" style="110" customWidth="1"/>
    <col min="7683" max="7683" width="11.85546875" style="110" customWidth="1"/>
    <col min="7684" max="7684" width="13.140625" style="110" customWidth="1"/>
    <col min="7685" max="7685" width="12.28515625" style="110" customWidth="1"/>
    <col min="7686" max="7686" width="21.85546875" style="110" customWidth="1"/>
    <col min="7687" max="7687" width="20.85546875" style="110" customWidth="1"/>
    <col min="7688" max="7688" width="18.85546875" style="110" customWidth="1"/>
    <col min="7689" max="7689" width="22.5703125" style="110" customWidth="1"/>
    <col min="7690" max="7690" width="19.42578125" style="110" customWidth="1"/>
    <col min="7691" max="7691" width="16" style="110" customWidth="1"/>
    <col min="7692" max="7692" width="20.42578125" style="110" customWidth="1"/>
    <col min="7693" max="7693" width="15.42578125" style="110" customWidth="1"/>
    <col min="7694" max="7694" width="15.140625" style="110" customWidth="1"/>
    <col min="7695" max="7695" width="15.42578125" style="110" customWidth="1"/>
    <col min="7696" max="7696" width="16.28515625" style="110" customWidth="1"/>
    <col min="7697" max="7697" width="15.42578125" style="110" customWidth="1"/>
    <col min="7698" max="7698" width="16.85546875" style="110" customWidth="1"/>
    <col min="7699" max="7699" width="16.28515625" style="110" customWidth="1"/>
    <col min="7700" max="7700" width="15.5703125" style="110" customWidth="1"/>
    <col min="7701" max="7701" width="17" style="110" customWidth="1"/>
    <col min="7702" max="7702" width="17.28515625" style="110" customWidth="1"/>
    <col min="7703" max="7703" width="16.5703125" style="110" customWidth="1"/>
    <col min="7704" max="7704" width="17.5703125" style="110" bestFit="1" customWidth="1"/>
    <col min="7705" max="7707" width="17.5703125" style="110" customWidth="1"/>
    <col min="7708" max="7708" width="16.5703125" style="110" customWidth="1"/>
    <col min="7709" max="7709" width="19.42578125" style="110" customWidth="1"/>
    <col min="7710" max="7710" width="23.85546875" style="110" customWidth="1"/>
    <col min="7711" max="7711" width="18.28515625" style="110" customWidth="1"/>
    <col min="7712" max="7712" width="17.7109375" style="110" customWidth="1"/>
    <col min="7713" max="7713" width="12" style="110" customWidth="1"/>
    <col min="7714" max="7933" width="9.140625" style="110"/>
    <col min="7934" max="7934" width="11" style="110" customWidth="1"/>
    <col min="7935" max="7935" width="18.42578125" style="110" customWidth="1"/>
    <col min="7936" max="7936" width="15.28515625" style="110" customWidth="1"/>
    <col min="7937" max="7937" width="21.85546875" style="110" customWidth="1"/>
    <col min="7938" max="7938" width="26.42578125" style="110" customWidth="1"/>
    <col min="7939" max="7939" width="11.85546875" style="110" customWidth="1"/>
    <col min="7940" max="7940" width="13.140625" style="110" customWidth="1"/>
    <col min="7941" max="7941" width="12.28515625" style="110" customWidth="1"/>
    <col min="7942" max="7942" width="21.85546875" style="110" customWidth="1"/>
    <col min="7943" max="7943" width="20.85546875" style="110" customWidth="1"/>
    <col min="7944" max="7944" width="18.85546875" style="110" customWidth="1"/>
    <col min="7945" max="7945" width="22.5703125" style="110" customWidth="1"/>
    <col min="7946" max="7946" width="19.42578125" style="110" customWidth="1"/>
    <col min="7947" max="7947" width="16" style="110" customWidth="1"/>
    <col min="7948" max="7948" width="20.42578125" style="110" customWidth="1"/>
    <col min="7949" max="7949" width="15.42578125" style="110" customWidth="1"/>
    <col min="7950" max="7950" width="15.140625" style="110" customWidth="1"/>
    <col min="7951" max="7951" width="15.42578125" style="110" customWidth="1"/>
    <col min="7952" max="7952" width="16.28515625" style="110" customWidth="1"/>
    <col min="7953" max="7953" width="15.42578125" style="110" customWidth="1"/>
    <col min="7954" max="7954" width="16.85546875" style="110" customWidth="1"/>
    <col min="7955" max="7955" width="16.28515625" style="110" customWidth="1"/>
    <col min="7956" max="7956" width="15.5703125" style="110" customWidth="1"/>
    <col min="7957" max="7957" width="17" style="110" customWidth="1"/>
    <col min="7958" max="7958" width="17.28515625" style="110" customWidth="1"/>
    <col min="7959" max="7959" width="16.5703125" style="110" customWidth="1"/>
    <col min="7960" max="7960" width="17.5703125" style="110" bestFit="1" customWidth="1"/>
    <col min="7961" max="7963" width="17.5703125" style="110" customWidth="1"/>
    <col min="7964" max="7964" width="16.5703125" style="110" customWidth="1"/>
    <col min="7965" max="7965" width="19.42578125" style="110" customWidth="1"/>
    <col min="7966" max="7966" width="23.85546875" style="110" customWidth="1"/>
    <col min="7967" max="7967" width="18.28515625" style="110" customWidth="1"/>
    <col min="7968" max="7968" width="17.7109375" style="110" customWidth="1"/>
    <col min="7969" max="7969" width="12" style="110" customWidth="1"/>
    <col min="7970" max="8189" width="9.140625" style="110"/>
    <col min="8190" max="8190" width="11" style="110" customWidth="1"/>
    <col min="8191" max="8191" width="18.42578125" style="110" customWidth="1"/>
    <col min="8192" max="8192" width="15.28515625" style="110" customWidth="1"/>
    <col min="8193" max="8193" width="21.85546875" style="110" customWidth="1"/>
    <col min="8194" max="8194" width="26.42578125" style="110" customWidth="1"/>
    <col min="8195" max="8195" width="11.85546875" style="110" customWidth="1"/>
    <col min="8196" max="8196" width="13.140625" style="110" customWidth="1"/>
    <col min="8197" max="8197" width="12.28515625" style="110" customWidth="1"/>
    <col min="8198" max="8198" width="21.85546875" style="110" customWidth="1"/>
    <col min="8199" max="8199" width="20.85546875" style="110" customWidth="1"/>
    <col min="8200" max="8200" width="18.85546875" style="110" customWidth="1"/>
    <col min="8201" max="8201" width="22.5703125" style="110" customWidth="1"/>
    <col min="8202" max="8202" width="19.42578125" style="110" customWidth="1"/>
    <col min="8203" max="8203" width="16" style="110" customWidth="1"/>
    <col min="8204" max="8204" width="20.42578125" style="110" customWidth="1"/>
    <col min="8205" max="8205" width="15.42578125" style="110" customWidth="1"/>
    <col min="8206" max="8206" width="15.140625" style="110" customWidth="1"/>
    <col min="8207" max="8207" width="15.42578125" style="110" customWidth="1"/>
    <col min="8208" max="8208" width="16.28515625" style="110" customWidth="1"/>
    <col min="8209" max="8209" width="15.42578125" style="110" customWidth="1"/>
    <col min="8210" max="8210" width="16.85546875" style="110" customWidth="1"/>
    <col min="8211" max="8211" width="16.28515625" style="110" customWidth="1"/>
    <col min="8212" max="8212" width="15.5703125" style="110" customWidth="1"/>
    <col min="8213" max="8213" width="17" style="110" customWidth="1"/>
    <col min="8214" max="8214" width="17.28515625" style="110" customWidth="1"/>
    <col min="8215" max="8215" width="16.5703125" style="110" customWidth="1"/>
    <col min="8216" max="8216" width="17.5703125" style="110" bestFit="1" customWidth="1"/>
    <col min="8217" max="8219" width="17.5703125" style="110" customWidth="1"/>
    <col min="8220" max="8220" width="16.5703125" style="110" customWidth="1"/>
    <col min="8221" max="8221" width="19.42578125" style="110" customWidth="1"/>
    <col min="8222" max="8222" width="23.85546875" style="110" customWidth="1"/>
    <col min="8223" max="8223" width="18.28515625" style="110" customWidth="1"/>
    <col min="8224" max="8224" width="17.7109375" style="110" customWidth="1"/>
    <col min="8225" max="8225" width="12" style="110" customWidth="1"/>
    <col min="8226" max="8445" width="9.140625" style="110"/>
    <col min="8446" max="8446" width="11" style="110" customWidth="1"/>
    <col min="8447" max="8447" width="18.42578125" style="110" customWidth="1"/>
    <col min="8448" max="8448" width="15.28515625" style="110" customWidth="1"/>
    <col min="8449" max="8449" width="21.85546875" style="110" customWidth="1"/>
    <col min="8450" max="8450" width="26.42578125" style="110" customWidth="1"/>
    <col min="8451" max="8451" width="11.85546875" style="110" customWidth="1"/>
    <col min="8452" max="8452" width="13.140625" style="110" customWidth="1"/>
    <col min="8453" max="8453" width="12.28515625" style="110" customWidth="1"/>
    <col min="8454" max="8454" width="21.85546875" style="110" customWidth="1"/>
    <col min="8455" max="8455" width="20.85546875" style="110" customWidth="1"/>
    <col min="8456" max="8456" width="18.85546875" style="110" customWidth="1"/>
    <col min="8457" max="8457" width="22.5703125" style="110" customWidth="1"/>
    <col min="8458" max="8458" width="19.42578125" style="110" customWidth="1"/>
    <col min="8459" max="8459" width="16" style="110" customWidth="1"/>
    <col min="8460" max="8460" width="20.42578125" style="110" customWidth="1"/>
    <col min="8461" max="8461" width="15.42578125" style="110" customWidth="1"/>
    <col min="8462" max="8462" width="15.140625" style="110" customWidth="1"/>
    <col min="8463" max="8463" width="15.42578125" style="110" customWidth="1"/>
    <col min="8464" max="8464" width="16.28515625" style="110" customWidth="1"/>
    <col min="8465" max="8465" width="15.42578125" style="110" customWidth="1"/>
    <col min="8466" max="8466" width="16.85546875" style="110" customWidth="1"/>
    <col min="8467" max="8467" width="16.28515625" style="110" customWidth="1"/>
    <col min="8468" max="8468" width="15.5703125" style="110" customWidth="1"/>
    <col min="8469" max="8469" width="17" style="110" customWidth="1"/>
    <col min="8470" max="8470" width="17.28515625" style="110" customWidth="1"/>
    <col min="8471" max="8471" width="16.5703125" style="110" customWidth="1"/>
    <col min="8472" max="8472" width="17.5703125" style="110" bestFit="1" customWidth="1"/>
    <col min="8473" max="8475" width="17.5703125" style="110" customWidth="1"/>
    <col min="8476" max="8476" width="16.5703125" style="110" customWidth="1"/>
    <col min="8477" max="8477" width="19.42578125" style="110" customWidth="1"/>
    <col min="8478" max="8478" width="23.85546875" style="110" customWidth="1"/>
    <col min="8479" max="8479" width="18.28515625" style="110" customWidth="1"/>
    <col min="8480" max="8480" width="17.7109375" style="110" customWidth="1"/>
    <col min="8481" max="8481" width="12" style="110" customWidth="1"/>
    <col min="8482" max="8701" width="9.140625" style="110"/>
    <col min="8702" max="8702" width="11" style="110" customWidth="1"/>
    <col min="8703" max="8703" width="18.42578125" style="110" customWidth="1"/>
    <col min="8704" max="8704" width="15.28515625" style="110" customWidth="1"/>
    <col min="8705" max="8705" width="21.85546875" style="110" customWidth="1"/>
    <col min="8706" max="8706" width="26.42578125" style="110" customWidth="1"/>
    <col min="8707" max="8707" width="11.85546875" style="110" customWidth="1"/>
    <col min="8708" max="8708" width="13.140625" style="110" customWidth="1"/>
    <col min="8709" max="8709" width="12.28515625" style="110" customWidth="1"/>
    <col min="8710" max="8710" width="21.85546875" style="110" customWidth="1"/>
    <col min="8711" max="8711" width="20.85546875" style="110" customWidth="1"/>
    <col min="8712" max="8712" width="18.85546875" style="110" customWidth="1"/>
    <col min="8713" max="8713" width="22.5703125" style="110" customWidth="1"/>
    <col min="8714" max="8714" width="19.42578125" style="110" customWidth="1"/>
    <col min="8715" max="8715" width="16" style="110" customWidth="1"/>
    <col min="8716" max="8716" width="20.42578125" style="110" customWidth="1"/>
    <col min="8717" max="8717" width="15.42578125" style="110" customWidth="1"/>
    <col min="8718" max="8718" width="15.140625" style="110" customWidth="1"/>
    <col min="8719" max="8719" width="15.42578125" style="110" customWidth="1"/>
    <col min="8720" max="8720" width="16.28515625" style="110" customWidth="1"/>
    <col min="8721" max="8721" width="15.42578125" style="110" customWidth="1"/>
    <col min="8722" max="8722" width="16.85546875" style="110" customWidth="1"/>
    <col min="8723" max="8723" width="16.28515625" style="110" customWidth="1"/>
    <col min="8724" max="8724" width="15.5703125" style="110" customWidth="1"/>
    <col min="8725" max="8725" width="17" style="110" customWidth="1"/>
    <col min="8726" max="8726" width="17.28515625" style="110" customWidth="1"/>
    <col min="8727" max="8727" width="16.5703125" style="110" customWidth="1"/>
    <col min="8728" max="8728" width="17.5703125" style="110" bestFit="1" customWidth="1"/>
    <col min="8729" max="8731" width="17.5703125" style="110" customWidth="1"/>
    <col min="8732" max="8732" width="16.5703125" style="110" customWidth="1"/>
    <col min="8733" max="8733" width="19.42578125" style="110" customWidth="1"/>
    <col min="8734" max="8734" width="23.85546875" style="110" customWidth="1"/>
    <col min="8735" max="8735" width="18.28515625" style="110" customWidth="1"/>
    <col min="8736" max="8736" width="17.7109375" style="110" customWidth="1"/>
    <col min="8737" max="8737" width="12" style="110" customWidth="1"/>
    <col min="8738" max="8957" width="9.140625" style="110"/>
    <col min="8958" max="8958" width="11" style="110" customWidth="1"/>
    <col min="8959" max="8959" width="18.42578125" style="110" customWidth="1"/>
    <col min="8960" max="8960" width="15.28515625" style="110" customWidth="1"/>
    <col min="8961" max="8961" width="21.85546875" style="110" customWidth="1"/>
    <col min="8962" max="8962" width="26.42578125" style="110" customWidth="1"/>
    <col min="8963" max="8963" width="11.85546875" style="110" customWidth="1"/>
    <col min="8964" max="8964" width="13.140625" style="110" customWidth="1"/>
    <col min="8965" max="8965" width="12.28515625" style="110" customWidth="1"/>
    <col min="8966" max="8966" width="21.85546875" style="110" customWidth="1"/>
    <col min="8967" max="8967" width="20.85546875" style="110" customWidth="1"/>
    <col min="8968" max="8968" width="18.85546875" style="110" customWidth="1"/>
    <col min="8969" max="8969" width="22.5703125" style="110" customWidth="1"/>
    <col min="8970" max="8970" width="19.42578125" style="110" customWidth="1"/>
    <col min="8971" max="8971" width="16" style="110" customWidth="1"/>
    <col min="8972" max="8972" width="20.42578125" style="110" customWidth="1"/>
    <col min="8973" max="8973" width="15.42578125" style="110" customWidth="1"/>
    <col min="8974" max="8974" width="15.140625" style="110" customWidth="1"/>
    <col min="8975" max="8975" width="15.42578125" style="110" customWidth="1"/>
    <col min="8976" max="8976" width="16.28515625" style="110" customWidth="1"/>
    <col min="8977" max="8977" width="15.42578125" style="110" customWidth="1"/>
    <col min="8978" max="8978" width="16.85546875" style="110" customWidth="1"/>
    <col min="8979" max="8979" width="16.28515625" style="110" customWidth="1"/>
    <col min="8980" max="8980" width="15.5703125" style="110" customWidth="1"/>
    <col min="8981" max="8981" width="17" style="110" customWidth="1"/>
    <col min="8982" max="8982" width="17.28515625" style="110" customWidth="1"/>
    <col min="8983" max="8983" width="16.5703125" style="110" customWidth="1"/>
    <col min="8984" max="8984" width="17.5703125" style="110" bestFit="1" customWidth="1"/>
    <col min="8985" max="8987" width="17.5703125" style="110" customWidth="1"/>
    <col min="8988" max="8988" width="16.5703125" style="110" customWidth="1"/>
    <col min="8989" max="8989" width="19.42578125" style="110" customWidth="1"/>
    <col min="8990" max="8990" width="23.85546875" style="110" customWidth="1"/>
    <col min="8991" max="8991" width="18.28515625" style="110" customWidth="1"/>
    <col min="8992" max="8992" width="17.7109375" style="110" customWidth="1"/>
    <col min="8993" max="8993" width="12" style="110" customWidth="1"/>
    <col min="8994" max="9213" width="9.140625" style="110"/>
    <col min="9214" max="9214" width="11" style="110" customWidth="1"/>
    <col min="9215" max="9215" width="18.42578125" style="110" customWidth="1"/>
    <col min="9216" max="9216" width="15.28515625" style="110" customWidth="1"/>
    <col min="9217" max="9217" width="21.85546875" style="110" customWidth="1"/>
    <col min="9218" max="9218" width="26.42578125" style="110" customWidth="1"/>
    <col min="9219" max="9219" width="11.85546875" style="110" customWidth="1"/>
    <col min="9220" max="9220" width="13.140625" style="110" customWidth="1"/>
    <col min="9221" max="9221" width="12.28515625" style="110" customWidth="1"/>
    <col min="9222" max="9222" width="21.85546875" style="110" customWidth="1"/>
    <col min="9223" max="9223" width="20.85546875" style="110" customWidth="1"/>
    <col min="9224" max="9224" width="18.85546875" style="110" customWidth="1"/>
    <col min="9225" max="9225" width="22.5703125" style="110" customWidth="1"/>
    <col min="9226" max="9226" width="19.42578125" style="110" customWidth="1"/>
    <col min="9227" max="9227" width="16" style="110" customWidth="1"/>
    <col min="9228" max="9228" width="20.42578125" style="110" customWidth="1"/>
    <col min="9229" max="9229" width="15.42578125" style="110" customWidth="1"/>
    <col min="9230" max="9230" width="15.140625" style="110" customWidth="1"/>
    <col min="9231" max="9231" width="15.42578125" style="110" customWidth="1"/>
    <col min="9232" max="9232" width="16.28515625" style="110" customWidth="1"/>
    <col min="9233" max="9233" width="15.42578125" style="110" customWidth="1"/>
    <col min="9234" max="9234" width="16.85546875" style="110" customWidth="1"/>
    <col min="9235" max="9235" width="16.28515625" style="110" customWidth="1"/>
    <col min="9236" max="9236" width="15.5703125" style="110" customWidth="1"/>
    <col min="9237" max="9237" width="17" style="110" customWidth="1"/>
    <col min="9238" max="9238" width="17.28515625" style="110" customWidth="1"/>
    <col min="9239" max="9239" width="16.5703125" style="110" customWidth="1"/>
    <col min="9240" max="9240" width="17.5703125" style="110" bestFit="1" customWidth="1"/>
    <col min="9241" max="9243" width="17.5703125" style="110" customWidth="1"/>
    <col min="9244" max="9244" width="16.5703125" style="110" customWidth="1"/>
    <col min="9245" max="9245" width="19.42578125" style="110" customWidth="1"/>
    <col min="9246" max="9246" width="23.85546875" style="110" customWidth="1"/>
    <col min="9247" max="9247" width="18.28515625" style="110" customWidth="1"/>
    <col min="9248" max="9248" width="17.7109375" style="110" customWidth="1"/>
    <col min="9249" max="9249" width="12" style="110" customWidth="1"/>
    <col min="9250" max="9469" width="9.140625" style="110"/>
    <col min="9470" max="9470" width="11" style="110" customWidth="1"/>
    <col min="9471" max="9471" width="18.42578125" style="110" customWidth="1"/>
    <col min="9472" max="9472" width="15.28515625" style="110" customWidth="1"/>
    <col min="9473" max="9473" width="21.85546875" style="110" customWidth="1"/>
    <col min="9474" max="9474" width="26.42578125" style="110" customWidth="1"/>
    <col min="9475" max="9475" width="11.85546875" style="110" customWidth="1"/>
    <col min="9476" max="9476" width="13.140625" style="110" customWidth="1"/>
    <col min="9477" max="9477" width="12.28515625" style="110" customWidth="1"/>
    <col min="9478" max="9478" width="21.85546875" style="110" customWidth="1"/>
    <col min="9479" max="9479" width="20.85546875" style="110" customWidth="1"/>
    <col min="9480" max="9480" width="18.85546875" style="110" customWidth="1"/>
    <col min="9481" max="9481" width="22.5703125" style="110" customWidth="1"/>
    <col min="9482" max="9482" width="19.42578125" style="110" customWidth="1"/>
    <col min="9483" max="9483" width="16" style="110" customWidth="1"/>
    <col min="9484" max="9484" width="20.42578125" style="110" customWidth="1"/>
    <col min="9485" max="9485" width="15.42578125" style="110" customWidth="1"/>
    <col min="9486" max="9486" width="15.140625" style="110" customWidth="1"/>
    <col min="9487" max="9487" width="15.42578125" style="110" customWidth="1"/>
    <col min="9488" max="9488" width="16.28515625" style="110" customWidth="1"/>
    <col min="9489" max="9489" width="15.42578125" style="110" customWidth="1"/>
    <col min="9490" max="9490" width="16.85546875" style="110" customWidth="1"/>
    <col min="9491" max="9491" width="16.28515625" style="110" customWidth="1"/>
    <col min="9492" max="9492" width="15.5703125" style="110" customWidth="1"/>
    <col min="9493" max="9493" width="17" style="110" customWidth="1"/>
    <col min="9494" max="9494" width="17.28515625" style="110" customWidth="1"/>
    <col min="9495" max="9495" width="16.5703125" style="110" customWidth="1"/>
    <col min="9496" max="9496" width="17.5703125" style="110" bestFit="1" customWidth="1"/>
    <col min="9497" max="9499" width="17.5703125" style="110" customWidth="1"/>
    <col min="9500" max="9500" width="16.5703125" style="110" customWidth="1"/>
    <col min="9501" max="9501" width="19.42578125" style="110" customWidth="1"/>
    <col min="9502" max="9502" width="23.85546875" style="110" customWidth="1"/>
    <col min="9503" max="9503" width="18.28515625" style="110" customWidth="1"/>
    <col min="9504" max="9504" width="17.7109375" style="110" customWidth="1"/>
    <col min="9505" max="9505" width="12" style="110" customWidth="1"/>
    <col min="9506" max="9725" width="9.140625" style="110"/>
    <col min="9726" max="9726" width="11" style="110" customWidth="1"/>
    <col min="9727" max="9727" width="18.42578125" style="110" customWidth="1"/>
    <col min="9728" max="9728" width="15.28515625" style="110" customWidth="1"/>
    <col min="9729" max="9729" width="21.85546875" style="110" customWidth="1"/>
    <col min="9730" max="9730" width="26.42578125" style="110" customWidth="1"/>
    <col min="9731" max="9731" width="11.85546875" style="110" customWidth="1"/>
    <col min="9732" max="9732" width="13.140625" style="110" customWidth="1"/>
    <col min="9733" max="9733" width="12.28515625" style="110" customWidth="1"/>
    <col min="9734" max="9734" width="21.85546875" style="110" customWidth="1"/>
    <col min="9735" max="9735" width="20.85546875" style="110" customWidth="1"/>
    <col min="9736" max="9736" width="18.85546875" style="110" customWidth="1"/>
    <col min="9737" max="9737" width="22.5703125" style="110" customWidth="1"/>
    <col min="9738" max="9738" width="19.42578125" style="110" customWidth="1"/>
    <col min="9739" max="9739" width="16" style="110" customWidth="1"/>
    <col min="9740" max="9740" width="20.42578125" style="110" customWidth="1"/>
    <col min="9741" max="9741" width="15.42578125" style="110" customWidth="1"/>
    <col min="9742" max="9742" width="15.140625" style="110" customWidth="1"/>
    <col min="9743" max="9743" width="15.42578125" style="110" customWidth="1"/>
    <col min="9744" max="9744" width="16.28515625" style="110" customWidth="1"/>
    <col min="9745" max="9745" width="15.42578125" style="110" customWidth="1"/>
    <col min="9746" max="9746" width="16.85546875" style="110" customWidth="1"/>
    <col min="9747" max="9747" width="16.28515625" style="110" customWidth="1"/>
    <col min="9748" max="9748" width="15.5703125" style="110" customWidth="1"/>
    <col min="9749" max="9749" width="17" style="110" customWidth="1"/>
    <col min="9750" max="9750" width="17.28515625" style="110" customWidth="1"/>
    <col min="9751" max="9751" width="16.5703125" style="110" customWidth="1"/>
    <col min="9752" max="9752" width="17.5703125" style="110" bestFit="1" customWidth="1"/>
    <col min="9753" max="9755" width="17.5703125" style="110" customWidth="1"/>
    <col min="9756" max="9756" width="16.5703125" style="110" customWidth="1"/>
    <col min="9757" max="9757" width="19.42578125" style="110" customWidth="1"/>
    <col min="9758" max="9758" width="23.85546875" style="110" customWidth="1"/>
    <col min="9759" max="9759" width="18.28515625" style="110" customWidth="1"/>
    <col min="9760" max="9760" width="17.7109375" style="110" customWidth="1"/>
    <col min="9761" max="9761" width="12" style="110" customWidth="1"/>
    <col min="9762" max="9981" width="9.140625" style="110"/>
    <col min="9982" max="9982" width="11" style="110" customWidth="1"/>
    <col min="9983" max="9983" width="18.42578125" style="110" customWidth="1"/>
    <col min="9984" max="9984" width="15.28515625" style="110" customWidth="1"/>
    <col min="9985" max="9985" width="21.85546875" style="110" customWidth="1"/>
    <col min="9986" max="9986" width="26.42578125" style="110" customWidth="1"/>
    <col min="9987" max="9987" width="11.85546875" style="110" customWidth="1"/>
    <col min="9988" max="9988" width="13.140625" style="110" customWidth="1"/>
    <col min="9989" max="9989" width="12.28515625" style="110" customWidth="1"/>
    <col min="9990" max="9990" width="21.85546875" style="110" customWidth="1"/>
    <col min="9991" max="9991" width="20.85546875" style="110" customWidth="1"/>
    <col min="9992" max="9992" width="18.85546875" style="110" customWidth="1"/>
    <col min="9993" max="9993" width="22.5703125" style="110" customWidth="1"/>
    <col min="9994" max="9994" width="19.42578125" style="110" customWidth="1"/>
    <col min="9995" max="9995" width="16" style="110" customWidth="1"/>
    <col min="9996" max="9996" width="20.42578125" style="110" customWidth="1"/>
    <col min="9997" max="9997" width="15.42578125" style="110" customWidth="1"/>
    <col min="9998" max="9998" width="15.140625" style="110" customWidth="1"/>
    <col min="9999" max="9999" width="15.42578125" style="110" customWidth="1"/>
    <col min="10000" max="10000" width="16.28515625" style="110" customWidth="1"/>
    <col min="10001" max="10001" width="15.42578125" style="110" customWidth="1"/>
    <col min="10002" max="10002" width="16.85546875" style="110" customWidth="1"/>
    <col min="10003" max="10003" width="16.28515625" style="110" customWidth="1"/>
    <col min="10004" max="10004" width="15.5703125" style="110" customWidth="1"/>
    <col min="10005" max="10005" width="17" style="110" customWidth="1"/>
    <col min="10006" max="10006" width="17.28515625" style="110" customWidth="1"/>
    <col min="10007" max="10007" width="16.5703125" style="110" customWidth="1"/>
    <col min="10008" max="10008" width="17.5703125" style="110" bestFit="1" customWidth="1"/>
    <col min="10009" max="10011" width="17.5703125" style="110" customWidth="1"/>
    <col min="10012" max="10012" width="16.5703125" style="110" customWidth="1"/>
    <col min="10013" max="10013" width="19.42578125" style="110" customWidth="1"/>
    <col min="10014" max="10014" width="23.85546875" style="110" customWidth="1"/>
    <col min="10015" max="10015" width="18.28515625" style="110" customWidth="1"/>
    <col min="10016" max="10016" width="17.7109375" style="110" customWidth="1"/>
    <col min="10017" max="10017" width="12" style="110" customWidth="1"/>
    <col min="10018" max="10237" width="9.140625" style="110"/>
    <col min="10238" max="10238" width="11" style="110" customWidth="1"/>
    <col min="10239" max="10239" width="18.42578125" style="110" customWidth="1"/>
    <col min="10240" max="10240" width="15.28515625" style="110" customWidth="1"/>
    <col min="10241" max="10241" width="21.85546875" style="110" customWidth="1"/>
    <col min="10242" max="10242" width="26.42578125" style="110" customWidth="1"/>
    <col min="10243" max="10243" width="11.85546875" style="110" customWidth="1"/>
    <col min="10244" max="10244" width="13.140625" style="110" customWidth="1"/>
    <col min="10245" max="10245" width="12.28515625" style="110" customWidth="1"/>
    <col min="10246" max="10246" width="21.85546875" style="110" customWidth="1"/>
    <col min="10247" max="10247" width="20.85546875" style="110" customWidth="1"/>
    <col min="10248" max="10248" width="18.85546875" style="110" customWidth="1"/>
    <col min="10249" max="10249" width="22.5703125" style="110" customWidth="1"/>
    <col min="10250" max="10250" width="19.42578125" style="110" customWidth="1"/>
    <col min="10251" max="10251" width="16" style="110" customWidth="1"/>
    <col min="10252" max="10252" width="20.42578125" style="110" customWidth="1"/>
    <col min="10253" max="10253" width="15.42578125" style="110" customWidth="1"/>
    <col min="10254" max="10254" width="15.140625" style="110" customWidth="1"/>
    <col min="10255" max="10255" width="15.42578125" style="110" customWidth="1"/>
    <col min="10256" max="10256" width="16.28515625" style="110" customWidth="1"/>
    <col min="10257" max="10257" width="15.42578125" style="110" customWidth="1"/>
    <col min="10258" max="10258" width="16.85546875" style="110" customWidth="1"/>
    <col min="10259" max="10259" width="16.28515625" style="110" customWidth="1"/>
    <col min="10260" max="10260" width="15.5703125" style="110" customWidth="1"/>
    <col min="10261" max="10261" width="17" style="110" customWidth="1"/>
    <col min="10262" max="10262" width="17.28515625" style="110" customWidth="1"/>
    <col min="10263" max="10263" width="16.5703125" style="110" customWidth="1"/>
    <col min="10264" max="10264" width="17.5703125" style="110" bestFit="1" customWidth="1"/>
    <col min="10265" max="10267" width="17.5703125" style="110" customWidth="1"/>
    <col min="10268" max="10268" width="16.5703125" style="110" customWidth="1"/>
    <col min="10269" max="10269" width="19.42578125" style="110" customWidth="1"/>
    <col min="10270" max="10270" width="23.85546875" style="110" customWidth="1"/>
    <col min="10271" max="10271" width="18.28515625" style="110" customWidth="1"/>
    <col min="10272" max="10272" width="17.7109375" style="110" customWidth="1"/>
    <col min="10273" max="10273" width="12" style="110" customWidth="1"/>
    <col min="10274" max="10493" width="9.140625" style="110"/>
    <col min="10494" max="10494" width="11" style="110" customWidth="1"/>
    <col min="10495" max="10495" width="18.42578125" style="110" customWidth="1"/>
    <col min="10496" max="10496" width="15.28515625" style="110" customWidth="1"/>
    <col min="10497" max="10497" width="21.85546875" style="110" customWidth="1"/>
    <col min="10498" max="10498" width="26.42578125" style="110" customWidth="1"/>
    <col min="10499" max="10499" width="11.85546875" style="110" customWidth="1"/>
    <col min="10500" max="10500" width="13.140625" style="110" customWidth="1"/>
    <col min="10501" max="10501" width="12.28515625" style="110" customWidth="1"/>
    <col min="10502" max="10502" width="21.85546875" style="110" customWidth="1"/>
    <col min="10503" max="10503" width="20.85546875" style="110" customWidth="1"/>
    <col min="10504" max="10504" width="18.85546875" style="110" customWidth="1"/>
    <col min="10505" max="10505" width="22.5703125" style="110" customWidth="1"/>
    <col min="10506" max="10506" width="19.42578125" style="110" customWidth="1"/>
    <col min="10507" max="10507" width="16" style="110" customWidth="1"/>
    <col min="10508" max="10508" width="20.42578125" style="110" customWidth="1"/>
    <col min="10509" max="10509" width="15.42578125" style="110" customWidth="1"/>
    <col min="10510" max="10510" width="15.140625" style="110" customWidth="1"/>
    <col min="10511" max="10511" width="15.42578125" style="110" customWidth="1"/>
    <col min="10512" max="10512" width="16.28515625" style="110" customWidth="1"/>
    <col min="10513" max="10513" width="15.42578125" style="110" customWidth="1"/>
    <col min="10514" max="10514" width="16.85546875" style="110" customWidth="1"/>
    <col min="10515" max="10515" width="16.28515625" style="110" customWidth="1"/>
    <col min="10516" max="10516" width="15.5703125" style="110" customWidth="1"/>
    <col min="10517" max="10517" width="17" style="110" customWidth="1"/>
    <col min="10518" max="10518" width="17.28515625" style="110" customWidth="1"/>
    <col min="10519" max="10519" width="16.5703125" style="110" customWidth="1"/>
    <col min="10520" max="10520" width="17.5703125" style="110" bestFit="1" customWidth="1"/>
    <col min="10521" max="10523" width="17.5703125" style="110" customWidth="1"/>
    <col min="10524" max="10524" width="16.5703125" style="110" customWidth="1"/>
    <col min="10525" max="10525" width="19.42578125" style="110" customWidth="1"/>
    <col min="10526" max="10526" width="23.85546875" style="110" customWidth="1"/>
    <col min="10527" max="10527" width="18.28515625" style="110" customWidth="1"/>
    <col min="10528" max="10528" width="17.7109375" style="110" customWidth="1"/>
    <col min="10529" max="10529" width="12" style="110" customWidth="1"/>
    <col min="10530" max="10749" width="9.140625" style="110"/>
    <col min="10750" max="10750" width="11" style="110" customWidth="1"/>
    <col min="10751" max="10751" width="18.42578125" style="110" customWidth="1"/>
    <col min="10752" max="10752" width="15.28515625" style="110" customWidth="1"/>
    <col min="10753" max="10753" width="21.85546875" style="110" customWidth="1"/>
    <col min="10754" max="10754" width="26.42578125" style="110" customWidth="1"/>
    <col min="10755" max="10755" width="11.85546875" style="110" customWidth="1"/>
    <col min="10756" max="10756" width="13.140625" style="110" customWidth="1"/>
    <col min="10757" max="10757" width="12.28515625" style="110" customWidth="1"/>
    <col min="10758" max="10758" width="21.85546875" style="110" customWidth="1"/>
    <col min="10759" max="10759" width="20.85546875" style="110" customWidth="1"/>
    <col min="10760" max="10760" width="18.85546875" style="110" customWidth="1"/>
    <col min="10761" max="10761" width="22.5703125" style="110" customWidth="1"/>
    <col min="10762" max="10762" width="19.42578125" style="110" customWidth="1"/>
    <col min="10763" max="10763" width="16" style="110" customWidth="1"/>
    <col min="10764" max="10764" width="20.42578125" style="110" customWidth="1"/>
    <col min="10765" max="10765" width="15.42578125" style="110" customWidth="1"/>
    <col min="10766" max="10766" width="15.140625" style="110" customWidth="1"/>
    <col min="10767" max="10767" width="15.42578125" style="110" customWidth="1"/>
    <col min="10768" max="10768" width="16.28515625" style="110" customWidth="1"/>
    <col min="10769" max="10769" width="15.42578125" style="110" customWidth="1"/>
    <col min="10770" max="10770" width="16.85546875" style="110" customWidth="1"/>
    <col min="10771" max="10771" width="16.28515625" style="110" customWidth="1"/>
    <col min="10772" max="10772" width="15.5703125" style="110" customWidth="1"/>
    <col min="10773" max="10773" width="17" style="110" customWidth="1"/>
    <col min="10774" max="10774" width="17.28515625" style="110" customWidth="1"/>
    <col min="10775" max="10775" width="16.5703125" style="110" customWidth="1"/>
    <col min="10776" max="10776" width="17.5703125" style="110" bestFit="1" customWidth="1"/>
    <col min="10777" max="10779" width="17.5703125" style="110" customWidth="1"/>
    <col min="10780" max="10780" width="16.5703125" style="110" customWidth="1"/>
    <col min="10781" max="10781" width="19.42578125" style="110" customWidth="1"/>
    <col min="10782" max="10782" width="23.85546875" style="110" customWidth="1"/>
    <col min="10783" max="10783" width="18.28515625" style="110" customWidth="1"/>
    <col min="10784" max="10784" width="17.7109375" style="110" customWidth="1"/>
    <col min="10785" max="10785" width="12" style="110" customWidth="1"/>
    <col min="10786" max="11005" width="9.140625" style="110"/>
    <col min="11006" max="11006" width="11" style="110" customWidth="1"/>
    <col min="11007" max="11007" width="18.42578125" style="110" customWidth="1"/>
    <col min="11008" max="11008" width="15.28515625" style="110" customWidth="1"/>
    <col min="11009" max="11009" width="21.85546875" style="110" customWidth="1"/>
    <col min="11010" max="11010" width="26.42578125" style="110" customWidth="1"/>
    <col min="11011" max="11011" width="11.85546875" style="110" customWidth="1"/>
    <col min="11012" max="11012" width="13.140625" style="110" customWidth="1"/>
    <col min="11013" max="11013" width="12.28515625" style="110" customWidth="1"/>
    <col min="11014" max="11014" width="21.85546875" style="110" customWidth="1"/>
    <col min="11015" max="11015" width="20.85546875" style="110" customWidth="1"/>
    <col min="11016" max="11016" width="18.85546875" style="110" customWidth="1"/>
    <col min="11017" max="11017" width="22.5703125" style="110" customWidth="1"/>
    <col min="11018" max="11018" width="19.42578125" style="110" customWidth="1"/>
    <col min="11019" max="11019" width="16" style="110" customWidth="1"/>
    <col min="11020" max="11020" width="20.42578125" style="110" customWidth="1"/>
    <col min="11021" max="11021" width="15.42578125" style="110" customWidth="1"/>
    <col min="11022" max="11022" width="15.140625" style="110" customWidth="1"/>
    <col min="11023" max="11023" width="15.42578125" style="110" customWidth="1"/>
    <col min="11024" max="11024" width="16.28515625" style="110" customWidth="1"/>
    <col min="11025" max="11025" width="15.42578125" style="110" customWidth="1"/>
    <col min="11026" max="11026" width="16.85546875" style="110" customWidth="1"/>
    <col min="11027" max="11027" width="16.28515625" style="110" customWidth="1"/>
    <col min="11028" max="11028" width="15.5703125" style="110" customWidth="1"/>
    <col min="11029" max="11029" width="17" style="110" customWidth="1"/>
    <col min="11030" max="11030" width="17.28515625" style="110" customWidth="1"/>
    <col min="11031" max="11031" width="16.5703125" style="110" customWidth="1"/>
    <col min="11032" max="11032" width="17.5703125" style="110" bestFit="1" customWidth="1"/>
    <col min="11033" max="11035" width="17.5703125" style="110" customWidth="1"/>
    <col min="11036" max="11036" width="16.5703125" style="110" customWidth="1"/>
    <col min="11037" max="11037" width="19.42578125" style="110" customWidth="1"/>
    <col min="11038" max="11038" width="23.85546875" style="110" customWidth="1"/>
    <col min="11039" max="11039" width="18.28515625" style="110" customWidth="1"/>
    <col min="11040" max="11040" width="17.7109375" style="110" customWidth="1"/>
    <col min="11041" max="11041" width="12" style="110" customWidth="1"/>
    <col min="11042" max="11261" width="9.140625" style="110"/>
    <col min="11262" max="11262" width="11" style="110" customWidth="1"/>
    <col min="11263" max="11263" width="18.42578125" style="110" customWidth="1"/>
    <col min="11264" max="11264" width="15.28515625" style="110" customWidth="1"/>
    <col min="11265" max="11265" width="21.85546875" style="110" customWidth="1"/>
    <col min="11266" max="11266" width="26.42578125" style="110" customWidth="1"/>
    <col min="11267" max="11267" width="11.85546875" style="110" customWidth="1"/>
    <col min="11268" max="11268" width="13.140625" style="110" customWidth="1"/>
    <col min="11269" max="11269" width="12.28515625" style="110" customWidth="1"/>
    <col min="11270" max="11270" width="21.85546875" style="110" customWidth="1"/>
    <col min="11271" max="11271" width="20.85546875" style="110" customWidth="1"/>
    <col min="11272" max="11272" width="18.85546875" style="110" customWidth="1"/>
    <col min="11273" max="11273" width="22.5703125" style="110" customWidth="1"/>
    <col min="11274" max="11274" width="19.42578125" style="110" customWidth="1"/>
    <col min="11275" max="11275" width="16" style="110" customWidth="1"/>
    <col min="11276" max="11276" width="20.42578125" style="110" customWidth="1"/>
    <col min="11277" max="11277" width="15.42578125" style="110" customWidth="1"/>
    <col min="11278" max="11278" width="15.140625" style="110" customWidth="1"/>
    <col min="11279" max="11279" width="15.42578125" style="110" customWidth="1"/>
    <col min="11280" max="11280" width="16.28515625" style="110" customWidth="1"/>
    <col min="11281" max="11281" width="15.42578125" style="110" customWidth="1"/>
    <col min="11282" max="11282" width="16.85546875" style="110" customWidth="1"/>
    <col min="11283" max="11283" width="16.28515625" style="110" customWidth="1"/>
    <col min="11284" max="11284" width="15.5703125" style="110" customWidth="1"/>
    <col min="11285" max="11285" width="17" style="110" customWidth="1"/>
    <col min="11286" max="11286" width="17.28515625" style="110" customWidth="1"/>
    <col min="11287" max="11287" width="16.5703125" style="110" customWidth="1"/>
    <col min="11288" max="11288" width="17.5703125" style="110" bestFit="1" customWidth="1"/>
    <col min="11289" max="11291" width="17.5703125" style="110" customWidth="1"/>
    <col min="11292" max="11292" width="16.5703125" style="110" customWidth="1"/>
    <col min="11293" max="11293" width="19.42578125" style="110" customWidth="1"/>
    <col min="11294" max="11294" width="23.85546875" style="110" customWidth="1"/>
    <col min="11295" max="11295" width="18.28515625" style="110" customWidth="1"/>
    <col min="11296" max="11296" width="17.7109375" style="110" customWidth="1"/>
    <col min="11297" max="11297" width="12" style="110" customWidth="1"/>
    <col min="11298" max="11517" width="9.140625" style="110"/>
    <col min="11518" max="11518" width="11" style="110" customWidth="1"/>
    <col min="11519" max="11519" width="18.42578125" style="110" customWidth="1"/>
    <col min="11520" max="11520" width="15.28515625" style="110" customWidth="1"/>
    <col min="11521" max="11521" width="21.85546875" style="110" customWidth="1"/>
    <col min="11522" max="11522" width="26.42578125" style="110" customWidth="1"/>
    <col min="11523" max="11523" width="11.85546875" style="110" customWidth="1"/>
    <col min="11524" max="11524" width="13.140625" style="110" customWidth="1"/>
    <col min="11525" max="11525" width="12.28515625" style="110" customWidth="1"/>
    <col min="11526" max="11526" width="21.85546875" style="110" customWidth="1"/>
    <col min="11527" max="11527" width="20.85546875" style="110" customWidth="1"/>
    <col min="11528" max="11528" width="18.85546875" style="110" customWidth="1"/>
    <col min="11529" max="11529" width="22.5703125" style="110" customWidth="1"/>
    <col min="11530" max="11530" width="19.42578125" style="110" customWidth="1"/>
    <col min="11531" max="11531" width="16" style="110" customWidth="1"/>
    <col min="11532" max="11532" width="20.42578125" style="110" customWidth="1"/>
    <col min="11533" max="11533" width="15.42578125" style="110" customWidth="1"/>
    <col min="11534" max="11534" width="15.140625" style="110" customWidth="1"/>
    <col min="11535" max="11535" width="15.42578125" style="110" customWidth="1"/>
    <col min="11536" max="11536" width="16.28515625" style="110" customWidth="1"/>
    <col min="11537" max="11537" width="15.42578125" style="110" customWidth="1"/>
    <col min="11538" max="11538" width="16.85546875" style="110" customWidth="1"/>
    <col min="11539" max="11539" width="16.28515625" style="110" customWidth="1"/>
    <col min="11540" max="11540" width="15.5703125" style="110" customWidth="1"/>
    <col min="11541" max="11541" width="17" style="110" customWidth="1"/>
    <col min="11542" max="11542" width="17.28515625" style="110" customWidth="1"/>
    <col min="11543" max="11543" width="16.5703125" style="110" customWidth="1"/>
    <col min="11544" max="11544" width="17.5703125" style="110" bestFit="1" customWidth="1"/>
    <col min="11545" max="11547" width="17.5703125" style="110" customWidth="1"/>
    <col min="11548" max="11548" width="16.5703125" style="110" customWidth="1"/>
    <col min="11549" max="11549" width="19.42578125" style="110" customWidth="1"/>
    <col min="11550" max="11550" width="23.85546875" style="110" customWidth="1"/>
    <col min="11551" max="11551" width="18.28515625" style="110" customWidth="1"/>
    <col min="11552" max="11552" width="17.7109375" style="110" customWidth="1"/>
    <col min="11553" max="11553" width="12" style="110" customWidth="1"/>
    <col min="11554" max="11773" width="9.140625" style="110"/>
    <col min="11774" max="11774" width="11" style="110" customWidth="1"/>
    <col min="11775" max="11775" width="18.42578125" style="110" customWidth="1"/>
    <col min="11776" max="11776" width="15.28515625" style="110" customWidth="1"/>
    <col min="11777" max="11777" width="21.85546875" style="110" customWidth="1"/>
    <col min="11778" max="11778" width="26.42578125" style="110" customWidth="1"/>
    <col min="11779" max="11779" width="11.85546875" style="110" customWidth="1"/>
    <col min="11780" max="11780" width="13.140625" style="110" customWidth="1"/>
    <col min="11781" max="11781" width="12.28515625" style="110" customWidth="1"/>
    <col min="11782" max="11782" width="21.85546875" style="110" customWidth="1"/>
    <col min="11783" max="11783" width="20.85546875" style="110" customWidth="1"/>
    <col min="11784" max="11784" width="18.85546875" style="110" customWidth="1"/>
    <col min="11785" max="11785" width="22.5703125" style="110" customWidth="1"/>
    <col min="11786" max="11786" width="19.42578125" style="110" customWidth="1"/>
    <col min="11787" max="11787" width="16" style="110" customWidth="1"/>
    <col min="11788" max="11788" width="20.42578125" style="110" customWidth="1"/>
    <col min="11789" max="11789" width="15.42578125" style="110" customWidth="1"/>
    <col min="11790" max="11790" width="15.140625" style="110" customWidth="1"/>
    <col min="11791" max="11791" width="15.42578125" style="110" customWidth="1"/>
    <col min="11792" max="11792" width="16.28515625" style="110" customWidth="1"/>
    <col min="11793" max="11793" width="15.42578125" style="110" customWidth="1"/>
    <col min="11794" max="11794" width="16.85546875" style="110" customWidth="1"/>
    <col min="11795" max="11795" width="16.28515625" style="110" customWidth="1"/>
    <col min="11796" max="11796" width="15.5703125" style="110" customWidth="1"/>
    <col min="11797" max="11797" width="17" style="110" customWidth="1"/>
    <col min="11798" max="11798" width="17.28515625" style="110" customWidth="1"/>
    <col min="11799" max="11799" width="16.5703125" style="110" customWidth="1"/>
    <col min="11800" max="11800" width="17.5703125" style="110" bestFit="1" customWidth="1"/>
    <col min="11801" max="11803" width="17.5703125" style="110" customWidth="1"/>
    <col min="11804" max="11804" width="16.5703125" style="110" customWidth="1"/>
    <col min="11805" max="11805" width="19.42578125" style="110" customWidth="1"/>
    <col min="11806" max="11806" width="23.85546875" style="110" customWidth="1"/>
    <col min="11807" max="11807" width="18.28515625" style="110" customWidth="1"/>
    <col min="11808" max="11808" width="17.7109375" style="110" customWidth="1"/>
    <col min="11809" max="11809" width="12" style="110" customWidth="1"/>
    <col min="11810" max="12029" width="9.140625" style="110"/>
    <col min="12030" max="12030" width="11" style="110" customWidth="1"/>
    <col min="12031" max="12031" width="18.42578125" style="110" customWidth="1"/>
    <col min="12032" max="12032" width="15.28515625" style="110" customWidth="1"/>
    <col min="12033" max="12033" width="21.85546875" style="110" customWidth="1"/>
    <col min="12034" max="12034" width="26.42578125" style="110" customWidth="1"/>
    <col min="12035" max="12035" width="11.85546875" style="110" customWidth="1"/>
    <col min="12036" max="12036" width="13.140625" style="110" customWidth="1"/>
    <col min="12037" max="12037" width="12.28515625" style="110" customWidth="1"/>
    <col min="12038" max="12038" width="21.85546875" style="110" customWidth="1"/>
    <col min="12039" max="12039" width="20.85546875" style="110" customWidth="1"/>
    <col min="12040" max="12040" width="18.85546875" style="110" customWidth="1"/>
    <col min="12041" max="12041" width="22.5703125" style="110" customWidth="1"/>
    <col min="12042" max="12042" width="19.42578125" style="110" customWidth="1"/>
    <col min="12043" max="12043" width="16" style="110" customWidth="1"/>
    <col min="12044" max="12044" width="20.42578125" style="110" customWidth="1"/>
    <col min="12045" max="12045" width="15.42578125" style="110" customWidth="1"/>
    <col min="12046" max="12046" width="15.140625" style="110" customWidth="1"/>
    <col min="12047" max="12047" width="15.42578125" style="110" customWidth="1"/>
    <col min="12048" max="12048" width="16.28515625" style="110" customWidth="1"/>
    <col min="12049" max="12049" width="15.42578125" style="110" customWidth="1"/>
    <col min="12050" max="12050" width="16.85546875" style="110" customWidth="1"/>
    <col min="12051" max="12051" width="16.28515625" style="110" customWidth="1"/>
    <col min="12052" max="12052" width="15.5703125" style="110" customWidth="1"/>
    <col min="12053" max="12053" width="17" style="110" customWidth="1"/>
    <col min="12054" max="12054" width="17.28515625" style="110" customWidth="1"/>
    <col min="12055" max="12055" width="16.5703125" style="110" customWidth="1"/>
    <col min="12056" max="12056" width="17.5703125" style="110" bestFit="1" customWidth="1"/>
    <col min="12057" max="12059" width="17.5703125" style="110" customWidth="1"/>
    <col min="12060" max="12060" width="16.5703125" style="110" customWidth="1"/>
    <col min="12061" max="12061" width="19.42578125" style="110" customWidth="1"/>
    <col min="12062" max="12062" width="23.85546875" style="110" customWidth="1"/>
    <col min="12063" max="12063" width="18.28515625" style="110" customWidth="1"/>
    <col min="12064" max="12064" width="17.7109375" style="110" customWidth="1"/>
    <col min="12065" max="12065" width="12" style="110" customWidth="1"/>
    <col min="12066" max="12285" width="9.140625" style="110"/>
    <col min="12286" max="12286" width="11" style="110" customWidth="1"/>
    <col min="12287" max="12287" width="18.42578125" style="110" customWidth="1"/>
    <col min="12288" max="12288" width="15.28515625" style="110" customWidth="1"/>
    <col min="12289" max="12289" width="21.85546875" style="110" customWidth="1"/>
    <col min="12290" max="12290" width="26.42578125" style="110" customWidth="1"/>
    <col min="12291" max="12291" width="11.85546875" style="110" customWidth="1"/>
    <col min="12292" max="12292" width="13.140625" style="110" customWidth="1"/>
    <col min="12293" max="12293" width="12.28515625" style="110" customWidth="1"/>
    <col min="12294" max="12294" width="21.85546875" style="110" customWidth="1"/>
    <col min="12295" max="12295" width="20.85546875" style="110" customWidth="1"/>
    <col min="12296" max="12296" width="18.85546875" style="110" customWidth="1"/>
    <col min="12297" max="12297" width="22.5703125" style="110" customWidth="1"/>
    <col min="12298" max="12298" width="19.42578125" style="110" customWidth="1"/>
    <col min="12299" max="12299" width="16" style="110" customWidth="1"/>
    <col min="12300" max="12300" width="20.42578125" style="110" customWidth="1"/>
    <col min="12301" max="12301" width="15.42578125" style="110" customWidth="1"/>
    <col min="12302" max="12302" width="15.140625" style="110" customWidth="1"/>
    <col min="12303" max="12303" width="15.42578125" style="110" customWidth="1"/>
    <col min="12304" max="12304" width="16.28515625" style="110" customWidth="1"/>
    <col min="12305" max="12305" width="15.42578125" style="110" customWidth="1"/>
    <col min="12306" max="12306" width="16.85546875" style="110" customWidth="1"/>
    <col min="12307" max="12307" width="16.28515625" style="110" customWidth="1"/>
    <col min="12308" max="12308" width="15.5703125" style="110" customWidth="1"/>
    <col min="12309" max="12309" width="17" style="110" customWidth="1"/>
    <col min="12310" max="12310" width="17.28515625" style="110" customWidth="1"/>
    <col min="12311" max="12311" width="16.5703125" style="110" customWidth="1"/>
    <col min="12312" max="12312" width="17.5703125" style="110" bestFit="1" customWidth="1"/>
    <col min="12313" max="12315" width="17.5703125" style="110" customWidth="1"/>
    <col min="12316" max="12316" width="16.5703125" style="110" customWidth="1"/>
    <col min="12317" max="12317" width="19.42578125" style="110" customWidth="1"/>
    <col min="12318" max="12318" width="23.85546875" style="110" customWidth="1"/>
    <col min="12319" max="12319" width="18.28515625" style="110" customWidth="1"/>
    <col min="12320" max="12320" width="17.7109375" style="110" customWidth="1"/>
    <col min="12321" max="12321" width="12" style="110" customWidth="1"/>
    <col min="12322" max="12541" width="9.140625" style="110"/>
    <col min="12542" max="12542" width="11" style="110" customWidth="1"/>
    <col min="12543" max="12543" width="18.42578125" style="110" customWidth="1"/>
    <col min="12544" max="12544" width="15.28515625" style="110" customWidth="1"/>
    <col min="12545" max="12545" width="21.85546875" style="110" customWidth="1"/>
    <col min="12546" max="12546" width="26.42578125" style="110" customWidth="1"/>
    <col min="12547" max="12547" width="11.85546875" style="110" customWidth="1"/>
    <col min="12548" max="12548" width="13.140625" style="110" customWidth="1"/>
    <col min="12549" max="12549" width="12.28515625" style="110" customWidth="1"/>
    <col min="12550" max="12550" width="21.85546875" style="110" customWidth="1"/>
    <col min="12551" max="12551" width="20.85546875" style="110" customWidth="1"/>
    <col min="12552" max="12552" width="18.85546875" style="110" customWidth="1"/>
    <col min="12553" max="12553" width="22.5703125" style="110" customWidth="1"/>
    <col min="12554" max="12554" width="19.42578125" style="110" customWidth="1"/>
    <col min="12555" max="12555" width="16" style="110" customWidth="1"/>
    <col min="12556" max="12556" width="20.42578125" style="110" customWidth="1"/>
    <col min="12557" max="12557" width="15.42578125" style="110" customWidth="1"/>
    <col min="12558" max="12558" width="15.140625" style="110" customWidth="1"/>
    <col min="12559" max="12559" width="15.42578125" style="110" customWidth="1"/>
    <col min="12560" max="12560" width="16.28515625" style="110" customWidth="1"/>
    <col min="12561" max="12561" width="15.42578125" style="110" customWidth="1"/>
    <col min="12562" max="12562" width="16.85546875" style="110" customWidth="1"/>
    <col min="12563" max="12563" width="16.28515625" style="110" customWidth="1"/>
    <col min="12564" max="12564" width="15.5703125" style="110" customWidth="1"/>
    <col min="12565" max="12565" width="17" style="110" customWidth="1"/>
    <col min="12566" max="12566" width="17.28515625" style="110" customWidth="1"/>
    <col min="12567" max="12567" width="16.5703125" style="110" customWidth="1"/>
    <col min="12568" max="12568" width="17.5703125" style="110" bestFit="1" customWidth="1"/>
    <col min="12569" max="12571" width="17.5703125" style="110" customWidth="1"/>
    <col min="12572" max="12572" width="16.5703125" style="110" customWidth="1"/>
    <col min="12573" max="12573" width="19.42578125" style="110" customWidth="1"/>
    <col min="12574" max="12574" width="23.85546875" style="110" customWidth="1"/>
    <col min="12575" max="12575" width="18.28515625" style="110" customWidth="1"/>
    <col min="12576" max="12576" width="17.7109375" style="110" customWidth="1"/>
    <col min="12577" max="12577" width="12" style="110" customWidth="1"/>
    <col min="12578" max="12797" width="9.140625" style="110"/>
    <col min="12798" max="12798" width="11" style="110" customWidth="1"/>
    <col min="12799" max="12799" width="18.42578125" style="110" customWidth="1"/>
    <col min="12800" max="12800" width="15.28515625" style="110" customWidth="1"/>
    <col min="12801" max="12801" width="21.85546875" style="110" customWidth="1"/>
    <col min="12802" max="12802" width="26.42578125" style="110" customWidth="1"/>
    <col min="12803" max="12803" width="11.85546875" style="110" customWidth="1"/>
    <col min="12804" max="12804" width="13.140625" style="110" customWidth="1"/>
    <col min="12805" max="12805" width="12.28515625" style="110" customWidth="1"/>
    <col min="12806" max="12806" width="21.85546875" style="110" customWidth="1"/>
    <col min="12807" max="12807" width="20.85546875" style="110" customWidth="1"/>
    <col min="12808" max="12808" width="18.85546875" style="110" customWidth="1"/>
    <col min="12809" max="12809" width="22.5703125" style="110" customWidth="1"/>
    <col min="12810" max="12810" width="19.42578125" style="110" customWidth="1"/>
    <col min="12811" max="12811" width="16" style="110" customWidth="1"/>
    <col min="12812" max="12812" width="20.42578125" style="110" customWidth="1"/>
    <col min="12813" max="12813" width="15.42578125" style="110" customWidth="1"/>
    <col min="12814" max="12814" width="15.140625" style="110" customWidth="1"/>
    <col min="12815" max="12815" width="15.42578125" style="110" customWidth="1"/>
    <col min="12816" max="12816" width="16.28515625" style="110" customWidth="1"/>
    <col min="12817" max="12817" width="15.42578125" style="110" customWidth="1"/>
    <col min="12818" max="12818" width="16.85546875" style="110" customWidth="1"/>
    <col min="12819" max="12819" width="16.28515625" style="110" customWidth="1"/>
    <col min="12820" max="12820" width="15.5703125" style="110" customWidth="1"/>
    <col min="12821" max="12821" width="17" style="110" customWidth="1"/>
    <col min="12822" max="12822" width="17.28515625" style="110" customWidth="1"/>
    <col min="12823" max="12823" width="16.5703125" style="110" customWidth="1"/>
    <col min="12824" max="12824" width="17.5703125" style="110" bestFit="1" customWidth="1"/>
    <col min="12825" max="12827" width="17.5703125" style="110" customWidth="1"/>
    <col min="12828" max="12828" width="16.5703125" style="110" customWidth="1"/>
    <col min="12829" max="12829" width="19.42578125" style="110" customWidth="1"/>
    <col min="12830" max="12830" width="23.85546875" style="110" customWidth="1"/>
    <col min="12831" max="12831" width="18.28515625" style="110" customWidth="1"/>
    <col min="12832" max="12832" width="17.7109375" style="110" customWidth="1"/>
    <col min="12833" max="12833" width="12" style="110" customWidth="1"/>
    <col min="12834" max="13053" width="9.140625" style="110"/>
    <col min="13054" max="13054" width="11" style="110" customWidth="1"/>
    <col min="13055" max="13055" width="18.42578125" style="110" customWidth="1"/>
    <col min="13056" max="13056" width="15.28515625" style="110" customWidth="1"/>
    <col min="13057" max="13057" width="21.85546875" style="110" customWidth="1"/>
    <col min="13058" max="13058" width="26.42578125" style="110" customWidth="1"/>
    <col min="13059" max="13059" width="11.85546875" style="110" customWidth="1"/>
    <col min="13060" max="13060" width="13.140625" style="110" customWidth="1"/>
    <col min="13061" max="13061" width="12.28515625" style="110" customWidth="1"/>
    <col min="13062" max="13062" width="21.85546875" style="110" customWidth="1"/>
    <col min="13063" max="13063" width="20.85546875" style="110" customWidth="1"/>
    <col min="13064" max="13064" width="18.85546875" style="110" customWidth="1"/>
    <col min="13065" max="13065" width="22.5703125" style="110" customWidth="1"/>
    <col min="13066" max="13066" width="19.42578125" style="110" customWidth="1"/>
    <col min="13067" max="13067" width="16" style="110" customWidth="1"/>
    <col min="13068" max="13068" width="20.42578125" style="110" customWidth="1"/>
    <col min="13069" max="13069" width="15.42578125" style="110" customWidth="1"/>
    <col min="13070" max="13070" width="15.140625" style="110" customWidth="1"/>
    <col min="13071" max="13071" width="15.42578125" style="110" customWidth="1"/>
    <col min="13072" max="13072" width="16.28515625" style="110" customWidth="1"/>
    <col min="13073" max="13073" width="15.42578125" style="110" customWidth="1"/>
    <col min="13074" max="13074" width="16.85546875" style="110" customWidth="1"/>
    <col min="13075" max="13075" width="16.28515625" style="110" customWidth="1"/>
    <col min="13076" max="13076" width="15.5703125" style="110" customWidth="1"/>
    <col min="13077" max="13077" width="17" style="110" customWidth="1"/>
    <col min="13078" max="13078" width="17.28515625" style="110" customWidth="1"/>
    <col min="13079" max="13079" width="16.5703125" style="110" customWidth="1"/>
    <col min="13080" max="13080" width="17.5703125" style="110" bestFit="1" customWidth="1"/>
    <col min="13081" max="13083" width="17.5703125" style="110" customWidth="1"/>
    <col min="13084" max="13084" width="16.5703125" style="110" customWidth="1"/>
    <col min="13085" max="13085" width="19.42578125" style="110" customWidth="1"/>
    <col min="13086" max="13086" width="23.85546875" style="110" customWidth="1"/>
    <col min="13087" max="13087" width="18.28515625" style="110" customWidth="1"/>
    <col min="13088" max="13088" width="17.7109375" style="110" customWidth="1"/>
    <col min="13089" max="13089" width="12" style="110" customWidth="1"/>
    <col min="13090" max="13309" width="9.140625" style="110"/>
    <col min="13310" max="13310" width="11" style="110" customWidth="1"/>
    <col min="13311" max="13311" width="18.42578125" style="110" customWidth="1"/>
    <col min="13312" max="13312" width="15.28515625" style="110" customWidth="1"/>
    <col min="13313" max="13313" width="21.85546875" style="110" customWidth="1"/>
    <col min="13314" max="13314" width="26.42578125" style="110" customWidth="1"/>
    <col min="13315" max="13315" width="11.85546875" style="110" customWidth="1"/>
    <col min="13316" max="13316" width="13.140625" style="110" customWidth="1"/>
    <col min="13317" max="13317" width="12.28515625" style="110" customWidth="1"/>
    <col min="13318" max="13318" width="21.85546875" style="110" customWidth="1"/>
    <col min="13319" max="13319" width="20.85546875" style="110" customWidth="1"/>
    <col min="13320" max="13320" width="18.85546875" style="110" customWidth="1"/>
    <col min="13321" max="13321" width="22.5703125" style="110" customWidth="1"/>
    <col min="13322" max="13322" width="19.42578125" style="110" customWidth="1"/>
    <col min="13323" max="13323" width="16" style="110" customWidth="1"/>
    <col min="13324" max="13324" width="20.42578125" style="110" customWidth="1"/>
    <col min="13325" max="13325" width="15.42578125" style="110" customWidth="1"/>
    <col min="13326" max="13326" width="15.140625" style="110" customWidth="1"/>
    <col min="13327" max="13327" width="15.42578125" style="110" customWidth="1"/>
    <col min="13328" max="13328" width="16.28515625" style="110" customWidth="1"/>
    <col min="13329" max="13329" width="15.42578125" style="110" customWidth="1"/>
    <col min="13330" max="13330" width="16.85546875" style="110" customWidth="1"/>
    <col min="13331" max="13331" width="16.28515625" style="110" customWidth="1"/>
    <col min="13332" max="13332" width="15.5703125" style="110" customWidth="1"/>
    <col min="13333" max="13333" width="17" style="110" customWidth="1"/>
    <col min="13334" max="13334" width="17.28515625" style="110" customWidth="1"/>
    <col min="13335" max="13335" width="16.5703125" style="110" customWidth="1"/>
    <col min="13336" max="13336" width="17.5703125" style="110" bestFit="1" customWidth="1"/>
    <col min="13337" max="13339" width="17.5703125" style="110" customWidth="1"/>
    <col min="13340" max="13340" width="16.5703125" style="110" customWidth="1"/>
    <col min="13341" max="13341" width="19.42578125" style="110" customWidth="1"/>
    <col min="13342" max="13342" width="23.85546875" style="110" customWidth="1"/>
    <col min="13343" max="13343" width="18.28515625" style="110" customWidth="1"/>
    <col min="13344" max="13344" width="17.7109375" style="110" customWidth="1"/>
    <col min="13345" max="13345" width="12" style="110" customWidth="1"/>
    <col min="13346" max="13565" width="9.140625" style="110"/>
    <col min="13566" max="13566" width="11" style="110" customWidth="1"/>
    <col min="13567" max="13567" width="18.42578125" style="110" customWidth="1"/>
    <col min="13568" max="13568" width="15.28515625" style="110" customWidth="1"/>
    <col min="13569" max="13569" width="21.85546875" style="110" customWidth="1"/>
    <col min="13570" max="13570" width="26.42578125" style="110" customWidth="1"/>
    <col min="13571" max="13571" width="11.85546875" style="110" customWidth="1"/>
    <col min="13572" max="13572" width="13.140625" style="110" customWidth="1"/>
    <col min="13573" max="13573" width="12.28515625" style="110" customWidth="1"/>
    <col min="13574" max="13574" width="21.85546875" style="110" customWidth="1"/>
    <col min="13575" max="13575" width="20.85546875" style="110" customWidth="1"/>
    <col min="13576" max="13576" width="18.85546875" style="110" customWidth="1"/>
    <col min="13577" max="13577" width="22.5703125" style="110" customWidth="1"/>
    <col min="13578" max="13578" width="19.42578125" style="110" customWidth="1"/>
    <col min="13579" max="13579" width="16" style="110" customWidth="1"/>
    <col min="13580" max="13580" width="20.42578125" style="110" customWidth="1"/>
    <col min="13581" max="13581" width="15.42578125" style="110" customWidth="1"/>
    <col min="13582" max="13582" width="15.140625" style="110" customWidth="1"/>
    <col min="13583" max="13583" width="15.42578125" style="110" customWidth="1"/>
    <col min="13584" max="13584" width="16.28515625" style="110" customWidth="1"/>
    <col min="13585" max="13585" width="15.42578125" style="110" customWidth="1"/>
    <col min="13586" max="13586" width="16.85546875" style="110" customWidth="1"/>
    <col min="13587" max="13587" width="16.28515625" style="110" customWidth="1"/>
    <col min="13588" max="13588" width="15.5703125" style="110" customWidth="1"/>
    <col min="13589" max="13589" width="17" style="110" customWidth="1"/>
    <col min="13590" max="13590" width="17.28515625" style="110" customWidth="1"/>
    <col min="13591" max="13591" width="16.5703125" style="110" customWidth="1"/>
    <col min="13592" max="13592" width="17.5703125" style="110" bestFit="1" customWidth="1"/>
    <col min="13593" max="13595" width="17.5703125" style="110" customWidth="1"/>
    <col min="13596" max="13596" width="16.5703125" style="110" customWidth="1"/>
    <col min="13597" max="13597" width="19.42578125" style="110" customWidth="1"/>
    <col min="13598" max="13598" width="23.85546875" style="110" customWidth="1"/>
    <col min="13599" max="13599" width="18.28515625" style="110" customWidth="1"/>
    <col min="13600" max="13600" width="17.7109375" style="110" customWidth="1"/>
    <col min="13601" max="13601" width="12" style="110" customWidth="1"/>
    <col min="13602" max="13821" width="9.140625" style="110"/>
    <col min="13822" max="13822" width="11" style="110" customWidth="1"/>
    <col min="13823" max="13823" width="18.42578125" style="110" customWidth="1"/>
    <col min="13824" max="13824" width="15.28515625" style="110" customWidth="1"/>
    <col min="13825" max="13825" width="21.85546875" style="110" customWidth="1"/>
    <col min="13826" max="13826" width="26.42578125" style="110" customWidth="1"/>
    <col min="13827" max="13827" width="11.85546875" style="110" customWidth="1"/>
    <col min="13828" max="13828" width="13.140625" style="110" customWidth="1"/>
    <col min="13829" max="13829" width="12.28515625" style="110" customWidth="1"/>
    <col min="13830" max="13830" width="21.85546875" style="110" customWidth="1"/>
    <col min="13831" max="13831" width="20.85546875" style="110" customWidth="1"/>
    <col min="13832" max="13832" width="18.85546875" style="110" customWidth="1"/>
    <col min="13833" max="13833" width="22.5703125" style="110" customWidth="1"/>
    <col min="13834" max="13834" width="19.42578125" style="110" customWidth="1"/>
    <col min="13835" max="13835" width="16" style="110" customWidth="1"/>
    <col min="13836" max="13836" width="20.42578125" style="110" customWidth="1"/>
    <col min="13837" max="13837" width="15.42578125" style="110" customWidth="1"/>
    <col min="13838" max="13838" width="15.140625" style="110" customWidth="1"/>
    <col min="13839" max="13839" width="15.42578125" style="110" customWidth="1"/>
    <col min="13840" max="13840" width="16.28515625" style="110" customWidth="1"/>
    <col min="13841" max="13841" width="15.42578125" style="110" customWidth="1"/>
    <col min="13842" max="13842" width="16.85546875" style="110" customWidth="1"/>
    <col min="13843" max="13843" width="16.28515625" style="110" customWidth="1"/>
    <col min="13844" max="13844" width="15.5703125" style="110" customWidth="1"/>
    <col min="13845" max="13845" width="17" style="110" customWidth="1"/>
    <col min="13846" max="13846" width="17.28515625" style="110" customWidth="1"/>
    <col min="13847" max="13847" width="16.5703125" style="110" customWidth="1"/>
    <col min="13848" max="13848" width="17.5703125" style="110" bestFit="1" customWidth="1"/>
    <col min="13849" max="13851" width="17.5703125" style="110" customWidth="1"/>
    <col min="13852" max="13852" width="16.5703125" style="110" customWidth="1"/>
    <col min="13853" max="13853" width="19.42578125" style="110" customWidth="1"/>
    <col min="13854" max="13854" width="23.85546875" style="110" customWidth="1"/>
    <col min="13855" max="13855" width="18.28515625" style="110" customWidth="1"/>
    <col min="13856" max="13856" width="17.7109375" style="110" customWidth="1"/>
    <col min="13857" max="13857" width="12" style="110" customWidth="1"/>
    <col min="13858" max="14077" width="9.140625" style="110"/>
    <col min="14078" max="14078" width="11" style="110" customWidth="1"/>
    <col min="14079" max="14079" width="18.42578125" style="110" customWidth="1"/>
    <col min="14080" max="14080" width="15.28515625" style="110" customWidth="1"/>
    <col min="14081" max="14081" width="21.85546875" style="110" customWidth="1"/>
    <col min="14082" max="14082" width="26.42578125" style="110" customWidth="1"/>
    <col min="14083" max="14083" width="11.85546875" style="110" customWidth="1"/>
    <col min="14084" max="14084" width="13.140625" style="110" customWidth="1"/>
    <col min="14085" max="14085" width="12.28515625" style="110" customWidth="1"/>
    <col min="14086" max="14086" width="21.85546875" style="110" customWidth="1"/>
    <col min="14087" max="14087" width="20.85546875" style="110" customWidth="1"/>
    <col min="14088" max="14088" width="18.85546875" style="110" customWidth="1"/>
    <col min="14089" max="14089" width="22.5703125" style="110" customWidth="1"/>
    <col min="14090" max="14090" width="19.42578125" style="110" customWidth="1"/>
    <col min="14091" max="14091" width="16" style="110" customWidth="1"/>
    <col min="14092" max="14092" width="20.42578125" style="110" customWidth="1"/>
    <col min="14093" max="14093" width="15.42578125" style="110" customWidth="1"/>
    <col min="14094" max="14094" width="15.140625" style="110" customWidth="1"/>
    <col min="14095" max="14095" width="15.42578125" style="110" customWidth="1"/>
    <col min="14096" max="14096" width="16.28515625" style="110" customWidth="1"/>
    <col min="14097" max="14097" width="15.42578125" style="110" customWidth="1"/>
    <col min="14098" max="14098" width="16.85546875" style="110" customWidth="1"/>
    <col min="14099" max="14099" width="16.28515625" style="110" customWidth="1"/>
    <col min="14100" max="14100" width="15.5703125" style="110" customWidth="1"/>
    <col min="14101" max="14101" width="17" style="110" customWidth="1"/>
    <col min="14102" max="14102" width="17.28515625" style="110" customWidth="1"/>
    <col min="14103" max="14103" width="16.5703125" style="110" customWidth="1"/>
    <col min="14104" max="14104" width="17.5703125" style="110" bestFit="1" customWidth="1"/>
    <col min="14105" max="14107" width="17.5703125" style="110" customWidth="1"/>
    <col min="14108" max="14108" width="16.5703125" style="110" customWidth="1"/>
    <col min="14109" max="14109" width="19.42578125" style="110" customWidth="1"/>
    <col min="14110" max="14110" width="23.85546875" style="110" customWidth="1"/>
    <col min="14111" max="14111" width="18.28515625" style="110" customWidth="1"/>
    <col min="14112" max="14112" width="17.7109375" style="110" customWidth="1"/>
    <col min="14113" max="14113" width="12" style="110" customWidth="1"/>
    <col min="14114" max="14333" width="9.140625" style="110"/>
    <col min="14334" max="14334" width="11" style="110" customWidth="1"/>
    <col min="14335" max="14335" width="18.42578125" style="110" customWidth="1"/>
    <col min="14336" max="14336" width="15.28515625" style="110" customWidth="1"/>
    <col min="14337" max="14337" width="21.85546875" style="110" customWidth="1"/>
    <col min="14338" max="14338" width="26.42578125" style="110" customWidth="1"/>
    <col min="14339" max="14339" width="11.85546875" style="110" customWidth="1"/>
    <col min="14340" max="14340" width="13.140625" style="110" customWidth="1"/>
    <col min="14341" max="14341" width="12.28515625" style="110" customWidth="1"/>
    <col min="14342" max="14342" width="21.85546875" style="110" customWidth="1"/>
    <col min="14343" max="14343" width="20.85546875" style="110" customWidth="1"/>
    <col min="14344" max="14344" width="18.85546875" style="110" customWidth="1"/>
    <col min="14345" max="14345" width="22.5703125" style="110" customWidth="1"/>
    <col min="14346" max="14346" width="19.42578125" style="110" customWidth="1"/>
    <col min="14347" max="14347" width="16" style="110" customWidth="1"/>
    <col min="14348" max="14348" width="20.42578125" style="110" customWidth="1"/>
    <col min="14349" max="14349" width="15.42578125" style="110" customWidth="1"/>
    <col min="14350" max="14350" width="15.140625" style="110" customWidth="1"/>
    <col min="14351" max="14351" width="15.42578125" style="110" customWidth="1"/>
    <col min="14352" max="14352" width="16.28515625" style="110" customWidth="1"/>
    <col min="14353" max="14353" width="15.42578125" style="110" customWidth="1"/>
    <col min="14354" max="14354" width="16.85546875" style="110" customWidth="1"/>
    <col min="14355" max="14355" width="16.28515625" style="110" customWidth="1"/>
    <col min="14356" max="14356" width="15.5703125" style="110" customWidth="1"/>
    <col min="14357" max="14357" width="17" style="110" customWidth="1"/>
    <col min="14358" max="14358" width="17.28515625" style="110" customWidth="1"/>
    <col min="14359" max="14359" width="16.5703125" style="110" customWidth="1"/>
    <col min="14360" max="14360" width="17.5703125" style="110" bestFit="1" customWidth="1"/>
    <col min="14361" max="14363" width="17.5703125" style="110" customWidth="1"/>
    <col min="14364" max="14364" width="16.5703125" style="110" customWidth="1"/>
    <col min="14365" max="14365" width="19.42578125" style="110" customWidth="1"/>
    <col min="14366" max="14366" width="23.85546875" style="110" customWidth="1"/>
    <col min="14367" max="14367" width="18.28515625" style="110" customWidth="1"/>
    <col min="14368" max="14368" width="17.7109375" style="110" customWidth="1"/>
    <col min="14369" max="14369" width="12" style="110" customWidth="1"/>
    <col min="14370" max="14589" width="9.140625" style="110"/>
    <col min="14590" max="14590" width="11" style="110" customWidth="1"/>
    <col min="14591" max="14591" width="18.42578125" style="110" customWidth="1"/>
    <col min="14592" max="14592" width="15.28515625" style="110" customWidth="1"/>
    <col min="14593" max="14593" width="21.85546875" style="110" customWidth="1"/>
    <col min="14594" max="14594" width="26.42578125" style="110" customWidth="1"/>
    <col min="14595" max="14595" width="11.85546875" style="110" customWidth="1"/>
    <col min="14596" max="14596" width="13.140625" style="110" customWidth="1"/>
    <col min="14597" max="14597" width="12.28515625" style="110" customWidth="1"/>
    <col min="14598" max="14598" width="21.85546875" style="110" customWidth="1"/>
    <col min="14599" max="14599" width="20.85546875" style="110" customWidth="1"/>
    <col min="14600" max="14600" width="18.85546875" style="110" customWidth="1"/>
    <col min="14601" max="14601" width="22.5703125" style="110" customWidth="1"/>
    <col min="14602" max="14602" width="19.42578125" style="110" customWidth="1"/>
    <col min="14603" max="14603" width="16" style="110" customWidth="1"/>
    <col min="14604" max="14604" width="20.42578125" style="110" customWidth="1"/>
    <col min="14605" max="14605" width="15.42578125" style="110" customWidth="1"/>
    <col min="14606" max="14606" width="15.140625" style="110" customWidth="1"/>
    <col min="14607" max="14607" width="15.42578125" style="110" customWidth="1"/>
    <col min="14608" max="14608" width="16.28515625" style="110" customWidth="1"/>
    <col min="14609" max="14609" width="15.42578125" style="110" customWidth="1"/>
    <col min="14610" max="14610" width="16.85546875" style="110" customWidth="1"/>
    <col min="14611" max="14611" width="16.28515625" style="110" customWidth="1"/>
    <col min="14612" max="14612" width="15.5703125" style="110" customWidth="1"/>
    <col min="14613" max="14613" width="17" style="110" customWidth="1"/>
    <col min="14614" max="14614" width="17.28515625" style="110" customWidth="1"/>
    <col min="14615" max="14615" width="16.5703125" style="110" customWidth="1"/>
    <col min="14616" max="14616" width="17.5703125" style="110" bestFit="1" customWidth="1"/>
    <col min="14617" max="14619" width="17.5703125" style="110" customWidth="1"/>
    <col min="14620" max="14620" width="16.5703125" style="110" customWidth="1"/>
    <col min="14621" max="14621" width="19.42578125" style="110" customWidth="1"/>
    <col min="14622" max="14622" width="23.85546875" style="110" customWidth="1"/>
    <col min="14623" max="14623" width="18.28515625" style="110" customWidth="1"/>
    <col min="14624" max="14624" width="17.7109375" style="110" customWidth="1"/>
    <col min="14625" max="14625" width="12" style="110" customWidth="1"/>
    <col min="14626" max="14845" width="9.140625" style="110"/>
    <col min="14846" max="14846" width="11" style="110" customWidth="1"/>
    <col min="14847" max="14847" width="18.42578125" style="110" customWidth="1"/>
    <col min="14848" max="14848" width="15.28515625" style="110" customWidth="1"/>
    <col min="14849" max="14849" width="21.85546875" style="110" customWidth="1"/>
    <col min="14850" max="14850" width="26.42578125" style="110" customWidth="1"/>
    <col min="14851" max="14851" width="11.85546875" style="110" customWidth="1"/>
    <col min="14852" max="14852" width="13.140625" style="110" customWidth="1"/>
    <col min="14853" max="14853" width="12.28515625" style="110" customWidth="1"/>
    <col min="14854" max="14854" width="21.85546875" style="110" customWidth="1"/>
    <col min="14855" max="14855" width="20.85546875" style="110" customWidth="1"/>
    <col min="14856" max="14856" width="18.85546875" style="110" customWidth="1"/>
    <col min="14857" max="14857" width="22.5703125" style="110" customWidth="1"/>
    <col min="14858" max="14858" width="19.42578125" style="110" customWidth="1"/>
    <col min="14859" max="14859" width="16" style="110" customWidth="1"/>
    <col min="14860" max="14860" width="20.42578125" style="110" customWidth="1"/>
    <col min="14861" max="14861" width="15.42578125" style="110" customWidth="1"/>
    <col min="14862" max="14862" width="15.140625" style="110" customWidth="1"/>
    <col min="14863" max="14863" width="15.42578125" style="110" customWidth="1"/>
    <col min="14864" max="14864" width="16.28515625" style="110" customWidth="1"/>
    <col min="14865" max="14865" width="15.42578125" style="110" customWidth="1"/>
    <col min="14866" max="14866" width="16.85546875" style="110" customWidth="1"/>
    <col min="14867" max="14867" width="16.28515625" style="110" customWidth="1"/>
    <col min="14868" max="14868" width="15.5703125" style="110" customWidth="1"/>
    <col min="14869" max="14869" width="17" style="110" customWidth="1"/>
    <col min="14870" max="14870" width="17.28515625" style="110" customWidth="1"/>
    <col min="14871" max="14871" width="16.5703125" style="110" customWidth="1"/>
    <col min="14872" max="14872" width="17.5703125" style="110" bestFit="1" customWidth="1"/>
    <col min="14873" max="14875" width="17.5703125" style="110" customWidth="1"/>
    <col min="14876" max="14876" width="16.5703125" style="110" customWidth="1"/>
    <col min="14877" max="14877" width="19.42578125" style="110" customWidth="1"/>
    <col min="14878" max="14878" width="23.85546875" style="110" customWidth="1"/>
    <col min="14879" max="14879" width="18.28515625" style="110" customWidth="1"/>
    <col min="14880" max="14880" width="17.7109375" style="110" customWidth="1"/>
    <col min="14881" max="14881" width="12" style="110" customWidth="1"/>
    <col min="14882" max="15101" width="9.140625" style="110"/>
    <col min="15102" max="15102" width="11" style="110" customWidth="1"/>
    <col min="15103" max="15103" width="18.42578125" style="110" customWidth="1"/>
    <col min="15104" max="15104" width="15.28515625" style="110" customWidth="1"/>
    <col min="15105" max="15105" width="21.85546875" style="110" customWidth="1"/>
    <col min="15106" max="15106" width="26.42578125" style="110" customWidth="1"/>
    <col min="15107" max="15107" width="11.85546875" style="110" customWidth="1"/>
    <col min="15108" max="15108" width="13.140625" style="110" customWidth="1"/>
    <col min="15109" max="15109" width="12.28515625" style="110" customWidth="1"/>
    <col min="15110" max="15110" width="21.85546875" style="110" customWidth="1"/>
    <col min="15111" max="15111" width="20.85546875" style="110" customWidth="1"/>
    <col min="15112" max="15112" width="18.85546875" style="110" customWidth="1"/>
    <col min="15113" max="15113" width="22.5703125" style="110" customWidth="1"/>
    <col min="15114" max="15114" width="19.42578125" style="110" customWidth="1"/>
    <col min="15115" max="15115" width="16" style="110" customWidth="1"/>
    <col min="15116" max="15116" width="20.42578125" style="110" customWidth="1"/>
    <col min="15117" max="15117" width="15.42578125" style="110" customWidth="1"/>
    <col min="15118" max="15118" width="15.140625" style="110" customWidth="1"/>
    <col min="15119" max="15119" width="15.42578125" style="110" customWidth="1"/>
    <col min="15120" max="15120" width="16.28515625" style="110" customWidth="1"/>
    <col min="15121" max="15121" width="15.42578125" style="110" customWidth="1"/>
    <col min="15122" max="15122" width="16.85546875" style="110" customWidth="1"/>
    <col min="15123" max="15123" width="16.28515625" style="110" customWidth="1"/>
    <col min="15124" max="15124" width="15.5703125" style="110" customWidth="1"/>
    <col min="15125" max="15125" width="17" style="110" customWidth="1"/>
    <col min="15126" max="15126" width="17.28515625" style="110" customWidth="1"/>
    <col min="15127" max="15127" width="16.5703125" style="110" customWidth="1"/>
    <col min="15128" max="15128" width="17.5703125" style="110" bestFit="1" customWidth="1"/>
    <col min="15129" max="15131" width="17.5703125" style="110" customWidth="1"/>
    <col min="15132" max="15132" width="16.5703125" style="110" customWidth="1"/>
    <col min="15133" max="15133" width="19.42578125" style="110" customWidth="1"/>
    <col min="15134" max="15134" width="23.85546875" style="110" customWidth="1"/>
    <col min="15135" max="15135" width="18.28515625" style="110" customWidth="1"/>
    <col min="15136" max="15136" width="17.7109375" style="110" customWidth="1"/>
    <col min="15137" max="15137" width="12" style="110" customWidth="1"/>
    <col min="15138" max="15357" width="9.140625" style="110"/>
    <col min="15358" max="15358" width="11" style="110" customWidth="1"/>
    <col min="15359" max="15359" width="18.42578125" style="110" customWidth="1"/>
    <col min="15360" max="15360" width="15.28515625" style="110" customWidth="1"/>
    <col min="15361" max="15361" width="21.85546875" style="110" customWidth="1"/>
    <col min="15362" max="15362" width="26.42578125" style="110" customWidth="1"/>
    <col min="15363" max="15363" width="11.85546875" style="110" customWidth="1"/>
    <col min="15364" max="15364" width="13.140625" style="110" customWidth="1"/>
    <col min="15365" max="15365" width="12.28515625" style="110" customWidth="1"/>
    <col min="15366" max="15366" width="21.85546875" style="110" customWidth="1"/>
    <col min="15367" max="15367" width="20.85546875" style="110" customWidth="1"/>
    <col min="15368" max="15368" width="18.85546875" style="110" customWidth="1"/>
    <col min="15369" max="15369" width="22.5703125" style="110" customWidth="1"/>
    <col min="15370" max="15370" width="19.42578125" style="110" customWidth="1"/>
    <col min="15371" max="15371" width="16" style="110" customWidth="1"/>
    <col min="15372" max="15372" width="20.42578125" style="110" customWidth="1"/>
    <col min="15373" max="15373" width="15.42578125" style="110" customWidth="1"/>
    <col min="15374" max="15374" width="15.140625" style="110" customWidth="1"/>
    <col min="15375" max="15375" width="15.42578125" style="110" customWidth="1"/>
    <col min="15376" max="15376" width="16.28515625" style="110" customWidth="1"/>
    <col min="15377" max="15377" width="15.42578125" style="110" customWidth="1"/>
    <col min="15378" max="15378" width="16.85546875" style="110" customWidth="1"/>
    <col min="15379" max="15379" width="16.28515625" style="110" customWidth="1"/>
    <col min="15380" max="15380" width="15.5703125" style="110" customWidth="1"/>
    <col min="15381" max="15381" width="17" style="110" customWidth="1"/>
    <col min="15382" max="15382" width="17.28515625" style="110" customWidth="1"/>
    <col min="15383" max="15383" width="16.5703125" style="110" customWidth="1"/>
    <col min="15384" max="15384" width="17.5703125" style="110" bestFit="1" customWidth="1"/>
    <col min="15385" max="15387" width="17.5703125" style="110" customWidth="1"/>
    <col min="15388" max="15388" width="16.5703125" style="110" customWidth="1"/>
    <col min="15389" max="15389" width="19.42578125" style="110" customWidth="1"/>
    <col min="15390" max="15390" width="23.85546875" style="110" customWidth="1"/>
    <col min="15391" max="15391" width="18.28515625" style="110" customWidth="1"/>
    <col min="15392" max="15392" width="17.7109375" style="110" customWidth="1"/>
    <col min="15393" max="15393" width="12" style="110" customWidth="1"/>
    <col min="15394" max="15613" width="9.140625" style="110"/>
    <col min="15614" max="15614" width="11" style="110" customWidth="1"/>
    <col min="15615" max="15615" width="18.42578125" style="110" customWidth="1"/>
    <col min="15616" max="15616" width="15.28515625" style="110" customWidth="1"/>
    <col min="15617" max="15617" width="21.85546875" style="110" customWidth="1"/>
    <col min="15618" max="15618" width="26.42578125" style="110" customWidth="1"/>
    <col min="15619" max="15619" width="11.85546875" style="110" customWidth="1"/>
    <col min="15620" max="15620" width="13.140625" style="110" customWidth="1"/>
    <col min="15621" max="15621" width="12.28515625" style="110" customWidth="1"/>
    <col min="15622" max="15622" width="21.85546875" style="110" customWidth="1"/>
    <col min="15623" max="15623" width="20.85546875" style="110" customWidth="1"/>
    <col min="15624" max="15624" width="18.85546875" style="110" customWidth="1"/>
    <col min="15625" max="15625" width="22.5703125" style="110" customWidth="1"/>
    <col min="15626" max="15626" width="19.42578125" style="110" customWidth="1"/>
    <col min="15627" max="15627" width="16" style="110" customWidth="1"/>
    <col min="15628" max="15628" width="20.42578125" style="110" customWidth="1"/>
    <col min="15629" max="15629" width="15.42578125" style="110" customWidth="1"/>
    <col min="15630" max="15630" width="15.140625" style="110" customWidth="1"/>
    <col min="15631" max="15631" width="15.42578125" style="110" customWidth="1"/>
    <col min="15632" max="15632" width="16.28515625" style="110" customWidth="1"/>
    <col min="15633" max="15633" width="15.42578125" style="110" customWidth="1"/>
    <col min="15634" max="15634" width="16.85546875" style="110" customWidth="1"/>
    <col min="15635" max="15635" width="16.28515625" style="110" customWidth="1"/>
    <col min="15636" max="15636" width="15.5703125" style="110" customWidth="1"/>
    <col min="15637" max="15637" width="17" style="110" customWidth="1"/>
    <col min="15638" max="15638" width="17.28515625" style="110" customWidth="1"/>
    <col min="15639" max="15639" width="16.5703125" style="110" customWidth="1"/>
    <col min="15640" max="15640" width="17.5703125" style="110" bestFit="1" customWidth="1"/>
    <col min="15641" max="15643" width="17.5703125" style="110" customWidth="1"/>
    <col min="15644" max="15644" width="16.5703125" style="110" customWidth="1"/>
    <col min="15645" max="15645" width="19.42578125" style="110" customWidth="1"/>
    <col min="15646" max="15646" width="23.85546875" style="110" customWidth="1"/>
    <col min="15647" max="15647" width="18.28515625" style="110" customWidth="1"/>
    <col min="15648" max="15648" width="17.7109375" style="110" customWidth="1"/>
    <col min="15649" max="15649" width="12" style="110" customWidth="1"/>
    <col min="15650" max="15869" width="9.140625" style="110"/>
    <col min="15870" max="15870" width="11" style="110" customWidth="1"/>
    <col min="15871" max="15871" width="18.42578125" style="110" customWidth="1"/>
    <col min="15872" max="15872" width="15.28515625" style="110" customWidth="1"/>
    <col min="15873" max="15873" width="21.85546875" style="110" customWidth="1"/>
    <col min="15874" max="15874" width="26.42578125" style="110" customWidth="1"/>
    <col min="15875" max="15875" width="11.85546875" style="110" customWidth="1"/>
    <col min="15876" max="15876" width="13.140625" style="110" customWidth="1"/>
    <col min="15877" max="15877" width="12.28515625" style="110" customWidth="1"/>
    <col min="15878" max="15878" width="21.85546875" style="110" customWidth="1"/>
    <col min="15879" max="15879" width="20.85546875" style="110" customWidth="1"/>
    <col min="15880" max="15880" width="18.85546875" style="110" customWidth="1"/>
    <col min="15881" max="15881" width="22.5703125" style="110" customWidth="1"/>
    <col min="15882" max="15882" width="19.42578125" style="110" customWidth="1"/>
    <col min="15883" max="15883" width="16" style="110" customWidth="1"/>
    <col min="15884" max="15884" width="20.42578125" style="110" customWidth="1"/>
    <col min="15885" max="15885" width="15.42578125" style="110" customWidth="1"/>
    <col min="15886" max="15886" width="15.140625" style="110" customWidth="1"/>
    <col min="15887" max="15887" width="15.42578125" style="110" customWidth="1"/>
    <col min="15888" max="15888" width="16.28515625" style="110" customWidth="1"/>
    <col min="15889" max="15889" width="15.42578125" style="110" customWidth="1"/>
    <col min="15890" max="15890" width="16.85546875" style="110" customWidth="1"/>
    <col min="15891" max="15891" width="16.28515625" style="110" customWidth="1"/>
    <col min="15892" max="15892" width="15.5703125" style="110" customWidth="1"/>
    <col min="15893" max="15893" width="17" style="110" customWidth="1"/>
    <col min="15894" max="15894" width="17.28515625" style="110" customWidth="1"/>
    <col min="15895" max="15895" width="16.5703125" style="110" customWidth="1"/>
    <col min="15896" max="15896" width="17.5703125" style="110" bestFit="1" customWidth="1"/>
    <col min="15897" max="15899" width="17.5703125" style="110" customWidth="1"/>
    <col min="15900" max="15900" width="16.5703125" style="110" customWidth="1"/>
    <col min="15901" max="15901" width="19.42578125" style="110" customWidth="1"/>
    <col min="15902" max="15902" width="23.85546875" style="110" customWidth="1"/>
    <col min="15903" max="15903" width="18.28515625" style="110" customWidth="1"/>
    <col min="15904" max="15904" width="17.7109375" style="110" customWidth="1"/>
    <col min="15905" max="15905" width="12" style="110" customWidth="1"/>
    <col min="15906" max="16125" width="9.140625" style="110"/>
    <col min="16126" max="16126" width="11" style="110" customWidth="1"/>
    <col min="16127" max="16127" width="18.42578125" style="110" customWidth="1"/>
    <col min="16128" max="16128" width="15.28515625" style="110" customWidth="1"/>
    <col min="16129" max="16129" width="21.85546875" style="110" customWidth="1"/>
    <col min="16130" max="16130" width="26.42578125" style="110" customWidth="1"/>
    <col min="16131" max="16131" width="11.85546875" style="110" customWidth="1"/>
    <col min="16132" max="16132" width="13.140625" style="110" customWidth="1"/>
    <col min="16133" max="16133" width="12.28515625" style="110" customWidth="1"/>
    <col min="16134" max="16134" width="21.85546875" style="110" customWidth="1"/>
    <col min="16135" max="16135" width="20.85546875" style="110" customWidth="1"/>
    <col min="16136" max="16136" width="18.85546875" style="110" customWidth="1"/>
    <col min="16137" max="16137" width="22.5703125" style="110" customWidth="1"/>
    <col min="16138" max="16138" width="19.42578125" style="110" customWidth="1"/>
    <col min="16139" max="16139" width="16" style="110" customWidth="1"/>
    <col min="16140" max="16140" width="20.42578125" style="110" customWidth="1"/>
    <col min="16141" max="16141" width="15.42578125" style="110" customWidth="1"/>
    <col min="16142" max="16142" width="15.140625" style="110" customWidth="1"/>
    <col min="16143" max="16143" width="15.42578125" style="110" customWidth="1"/>
    <col min="16144" max="16144" width="16.28515625" style="110" customWidth="1"/>
    <col min="16145" max="16145" width="15.42578125" style="110" customWidth="1"/>
    <col min="16146" max="16146" width="16.85546875" style="110" customWidth="1"/>
    <col min="16147" max="16147" width="16.28515625" style="110" customWidth="1"/>
    <col min="16148" max="16148" width="15.5703125" style="110" customWidth="1"/>
    <col min="16149" max="16149" width="17" style="110" customWidth="1"/>
    <col min="16150" max="16150" width="17.28515625" style="110" customWidth="1"/>
    <col min="16151" max="16151" width="16.5703125" style="110" customWidth="1"/>
    <col min="16152" max="16152" width="17.5703125" style="110" bestFit="1" customWidth="1"/>
    <col min="16153" max="16155" width="17.5703125" style="110" customWidth="1"/>
    <col min="16156" max="16156" width="16.5703125" style="110" customWidth="1"/>
    <col min="16157" max="16157" width="19.42578125" style="110" customWidth="1"/>
    <col min="16158" max="16158" width="23.85546875" style="110" customWidth="1"/>
    <col min="16159" max="16159" width="18.28515625" style="110" customWidth="1"/>
    <col min="16160" max="16160" width="17.7109375" style="110" customWidth="1"/>
    <col min="16161" max="16161" width="12" style="110" customWidth="1"/>
    <col min="16162" max="16384" width="9.140625" style="110"/>
  </cols>
  <sheetData>
    <row r="1" spans="1:33" x14ac:dyDescent="0.2">
      <c r="AE1" s="113"/>
      <c r="AF1" s="113"/>
      <c r="AG1" s="113"/>
    </row>
    <row r="2" spans="1:33" ht="15" x14ac:dyDescent="0.2">
      <c r="A2" s="216" t="s">
        <v>901</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G2" s="210"/>
    </row>
    <row r="3" spans="1:33" ht="15" x14ac:dyDescent="0.2">
      <c r="A3" s="216" t="s">
        <v>902</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G3" s="210"/>
    </row>
    <row r="4" spans="1:33" ht="13.5" thickBot="1" x14ac:dyDescent="0.25">
      <c r="J4" s="114"/>
      <c r="K4" s="114"/>
      <c r="L4" s="114"/>
      <c r="M4" s="114"/>
      <c r="N4" s="114"/>
      <c r="O4" s="114"/>
      <c r="AE4" s="115"/>
      <c r="AF4" s="115"/>
      <c r="AG4" s="115"/>
    </row>
    <row r="5" spans="1:33" s="128" customFormat="1" ht="72" customHeight="1" thickBot="1" x14ac:dyDescent="0.3">
      <c r="A5" s="116" t="s">
        <v>903</v>
      </c>
      <c r="B5" s="117" t="s">
        <v>904</v>
      </c>
      <c r="C5" s="117" t="s">
        <v>905</v>
      </c>
      <c r="D5" s="118" t="s">
        <v>906</v>
      </c>
      <c r="E5" s="119" t="s">
        <v>907</v>
      </c>
      <c r="F5" s="120" t="s">
        <v>908</v>
      </c>
      <c r="G5" s="121" t="s">
        <v>909</v>
      </c>
      <c r="H5" s="121" t="s">
        <v>910</v>
      </c>
      <c r="I5" s="122" t="s">
        <v>911</v>
      </c>
      <c r="J5" s="123" t="s">
        <v>912</v>
      </c>
      <c r="K5" s="124" t="s">
        <v>913</v>
      </c>
      <c r="L5" s="124" t="s">
        <v>914</v>
      </c>
      <c r="M5" s="124" t="s">
        <v>915</v>
      </c>
      <c r="N5" s="124" t="s">
        <v>916</v>
      </c>
      <c r="O5" s="125" t="s">
        <v>917</v>
      </c>
      <c r="P5" s="217" t="s">
        <v>918</v>
      </c>
      <c r="Q5" s="218"/>
      <c r="R5" s="218"/>
      <c r="S5" s="218"/>
      <c r="T5" s="218"/>
      <c r="U5" s="218"/>
      <c r="V5" s="218"/>
      <c r="W5" s="211"/>
      <c r="X5" s="211"/>
      <c r="Y5" s="211"/>
      <c r="Z5" s="211"/>
      <c r="AA5" s="211"/>
      <c r="AB5" s="211"/>
      <c r="AC5" s="211"/>
      <c r="AD5" s="211"/>
      <c r="AE5" s="126"/>
      <c r="AF5" s="127" t="s">
        <v>919</v>
      </c>
      <c r="AG5" s="127" t="s">
        <v>920</v>
      </c>
    </row>
    <row r="6" spans="1:33" s="128" customFormat="1" x14ac:dyDescent="0.25">
      <c r="A6" s="129"/>
      <c r="B6" s="130"/>
      <c r="C6" s="130"/>
      <c r="D6" s="130"/>
      <c r="E6" s="131"/>
      <c r="F6" s="132"/>
      <c r="G6" s="133"/>
      <c r="H6" s="133"/>
      <c r="I6" s="134"/>
      <c r="J6" s="132"/>
      <c r="K6" s="133"/>
      <c r="L6" s="133"/>
      <c r="M6" s="133"/>
      <c r="N6" s="133"/>
      <c r="O6" s="135"/>
      <c r="P6" s="136">
        <v>2006</v>
      </c>
      <c r="Q6" s="136">
        <v>2007</v>
      </c>
      <c r="R6" s="136">
        <v>2008</v>
      </c>
      <c r="S6" s="137">
        <v>2009</v>
      </c>
      <c r="T6" s="137">
        <v>2010</v>
      </c>
      <c r="U6" s="137">
        <v>2011</v>
      </c>
      <c r="V6" s="138">
        <v>2012</v>
      </c>
      <c r="W6" s="131">
        <v>2013</v>
      </c>
      <c r="X6" s="131">
        <v>2014</v>
      </c>
      <c r="Y6" s="131">
        <v>2015</v>
      </c>
      <c r="Z6" s="131">
        <v>2016</v>
      </c>
      <c r="AA6" s="131">
        <v>2017</v>
      </c>
      <c r="AB6" s="131">
        <v>2018</v>
      </c>
      <c r="AC6" s="131">
        <v>2019</v>
      </c>
      <c r="AD6" s="131">
        <v>2020</v>
      </c>
      <c r="AE6" s="139" t="s">
        <v>921</v>
      </c>
      <c r="AF6" s="140"/>
      <c r="AG6" s="140"/>
    </row>
    <row r="7" spans="1:33" ht="24.95" customHeight="1" x14ac:dyDescent="0.2">
      <c r="A7" s="141" t="s">
        <v>31</v>
      </c>
      <c r="B7" s="142" t="s">
        <v>922</v>
      </c>
      <c r="C7" s="143" t="s">
        <v>923</v>
      </c>
      <c r="D7" s="143" t="s">
        <v>924</v>
      </c>
      <c r="E7" s="144" t="s">
        <v>925</v>
      </c>
      <c r="F7" s="145">
        <v>445</v>
      </c>
      <c r="G7" s="146">
        <v>445</v>
      </c>
      <c r="H7" s="146">
        <v>8</v>
      </c>
      <c r="I7" s="201"/>
      <c r="J7" s="147">
        <v>704</v>
      </c>
      <c r="K7" s="146">
        <v>700</v>
      </c>
      <c r="L7" s="146">
        <v>9</v>
      </c>
      <c r="M7" s="146">
        <v>260</v>
      </c>
      <c r="N7" s="146">
        <v>0</v>
      </c>
      <c r="O7" s="146">
        <v>267</v>
      </c>
      <c r="P7" s="204"/>
      <c r="Q7" s="204"/>
      <c r="R7" s="204"/>
      <c r="S7" s="204"/>
      <c r="T7" s="204"/>
      <c r="U7" s="204"/>
      <c r="V7" s="204"/>
      <c r="W7" s="204"/>
      <c r="X7" s="204"/>
      <c r="Y7" s="204"/>
      <c r="Z7" s="204"/>
      <c r="AA7" s="204"/>
      <c r="AB7" s="204"/>
      <c r="AC7" s="204"/>
      <c r="AD7" s="204"/>
      <c r="AE7" s="204"/>
      <c r="AF7" s="148" t="s">
        <v>926</v>
      </c>
      <c r="AG7" s="149" t="s">
        <v>927</v>
      </c>
    </row>
    <row r="8" spans="1:33" ht="24.95" customHeight="1" x14ac:dyDescent="0.2">
      <c r="A8" s="141" t="s">
        <v>928</v>
      </c>
      <c r="B8" s="142" t="s">
        <v>929</v>
      </c>
      <c r="C8" s="143" t="s">
        <v>930</v>
      </c>
      <c r="D8" s="143" t="s">
        <v>930</v>
      </c>
      <c r="E8" s="144" t="s">
        <v>925</v>
      </c>
      <c r="F8" s="145">
        <v>5075</v>
      </c>
      <c r="G8" s="146">
        <f>3655+2065+585</f>
        <v>6305</v>
      </c>
      <c r="H8" s="146">
        <v>75</v>
      </c>
      <c r="I8" s="201"/>
      <c r="J8" s="147">
        <v>5510</v>
      </c>
      <c r="K8" s="146">
        <v>5411</v>
      </c>
      <c r="L8" s="146">
        <v>56</v>
      </c>
      <c r="M8" s="146">
        <v>3918</v>
      </c>
      <c r="N8" s="146">
        <v>0</v>
      </c>
      <c r="O8" s="146">
        <v>4088</v>
      </c>
      <c r="P8" s="204"/>
      <c r="Q8" s="204"/>
      <c r="R8" s="204"/>
      <c r="S8" s="204"/>
      <c r="T8" s="204"/>
      <c r="U8" s="204"/>
      <c r="V8" s="204"/>
      <c r="W8" s="204"/>
      <c r="X8" s="204"/>
      <c r="Y8" s="204"/>
      <c r="Z8" s="204"/>
      <c r="AA8" s="204"/>
      <c r="AB8" s="204"/>
      <c r="AC8" s="204"/>
      <c r="AD8" s="204"/>
      <c r="AE8" s="204"/>
      <c r="AF8" s="148" t="s">
        <v>926</v>
      </c>
      <c r="AG8" s="149" t="s">
        <v>927</v>
      </c>
    </row>
    <row r="9" spans="1:33" ht="24.95" customHeight="1" x14ac:dyDescent="0.2">
      <c r="A9" s="150" t="s">
        <v>931</v>
      </c>
      <c r="B9" s="151" t="s">
        <v>932</v>
      </c>
      <c r="C9" s="152" t="s">
        <v>930</v>
      </c>
      <c r="D9" s="152" t="s">
        <v>930</v>
      </c>
      <c r="E9" s="153" t="s">
        <v>925</v>
      </c>
      <c r="F9" s="154">
        <v>7300</v>
      </c>
      <c r="G9" s="155">
        <v>7300</v>
      </c>
      <c r="H9" s="155">
        <v>116</v>
      </c>
      <c r="I9" s="202"/>
      <c r="J9" s="147">
        <v>9123</v>
      </c>
      <c r="K9" s="146">
        <v>7655</v>
      </c>
      <c r="L9" s="146">
        <v>154</v>
      </c>
      <c r="M9" s="146">
        <v>9546</v>
      </c>
      <c r="N9" s="146">
        <v>0</v>
      </c>
      <c r="O9" s="146">
        <v>8963</v>
      </c>
      <c r="P9" s="205"/>
      <c r="Q9" s="205"/>
      <c r="R9" s="205"/>
      <c r="S9" s="205"/>
      <c r="T9" s="204"/>
      <c r="U9" s="204"/>
      <c r="V9" s="204"/>
      <c r="W9" s="204"/>
      <c r="X9" s="204"/>
      <c r="Y9" s="204"/>
      <c r="Z9" s="204"/>
      <c r="AA9" s="204"/>
      <c r="AB9" s="204"/>
      <c r="AC9" s="204"/>
      <c r="AD9" s="204"/>
      <c r="AE9" s="204"/>
      <c r="AF9" s="148" t="s">
        <v>926</v>
      </c>
      <c r="AG9" s="149" t="s">
        <v>927</v>
      </c>
    </row>
    <row r="10" spans="1:33" ht="24.95" customHeight="1" x14ac:dyDescent="0.2">
      <c r="A10" s="141" t="s">
        <v>933</v>
      </c>
      <c r="B10" s="142" t="s">
        <v>934</v>
      </c>
      <c r="C10" s="143" t="s">
        <v>930</v>
      </c>
      <c r="D10" s="143" t="s">
        <v>930</v>
      </c>
      <c r="E10" s="144" t="s">
        <v>925</v>
      </c>
      <c r="F10" s="145">
        <v>3881</v>
      </c>
      <c r="G10" s="146">
        <v>6300</v>
      </c>
      <c r="H10" s="146">
        <v>91</v>
      </c>
      <c r="I10" s="201"/>
      <c r="J10" s="147">
        <v>3896</v>
      </c>
      <c r="K10" s="146">
        <v>6661</v>
      </c>
      <c r="L10" s="146">
        <v>73</v>
      </c>
      <c r="M10" s="146">
        <v>1818</v>
      </c>
      <c r="N10" s="146">
        <v>3</v>
      </c>
      <c r="O10" s="146">
        <v>1512</v>
      </c>
      <c r="P10" s="204"/>
      <c r="Q10" s="204"/>
      <c r="R10" s="204"/>
      <c r="S10" s="204"/>
      <c r="T10" s="204"/>
      <c r="U10" s="204"/>
      <c r="V10" s="204"/>
      <c r="W10" s="204"/>
      <c r="X10" s="204"/>
      <c r="Y10" s="204"/>
      <c r="Z10" s="204"/>
      <c r="AA10" s="204"/>
      <c r="AB10" s="204"/>
      <c r="AC10" s="204"/>
      <c r="AD10" s="204"/>
      <c r="AE10" s="204"/>
      <c r="AF10" s="148" t="s">
        <v>926</v>
      </c>
      <c r="AG10" s="149" t="s">
        <v>927</v>
      </c>
    </row>
    <row r="11" spans="1:33" ht="24.95" customHeight="1" x14ac:dyDescent="0.2">
      <c r="A11" s="141" t="s">
        <v>935</v>
      </c>
      <c r="B11" s="142" t="s">
        <v>936</v>
      </c>
      <c r="C11" s="143" t="s">
        <v>937</v>
      </c>
      <c r="D11" s="143" t="s">
        <v>937</v>
      </c>
      <c r="E11" s="144" t="s">
        <v>925</v>
      </c>
      <c r="F11" s="145">
        <v>2674</v>
      </c>
      <c r="G11" s="146">
        <f>54+1160+1423+188+164</f>
        <v>2989</v>
      </c>
      <c r="H11" s="146">
        <v>38</v>
      </c>
      <c r="I11" s="201"/>
      <c r="J11" s="147">
        <v>2615</v>
      </c>
      <c r="K11" s="146">
        <v>2909</v>
      </c>
      <c r="L11" s="146">
        <v>30</v>
      </c>
      <c r="M11" s="146">
        <v>1789</v>
      </c>
      <c r="N11" s="146">
        <v>1</v>
      </c>
      <c r="O11" s="146">
        <v>1621</v>
      </c>
      <c r="P11" s="204"/>
      <c r="Q11" s="204"/>
      <c r="R11" s="204"/>
      <c r="S11" s="204"/>
      <c r="T11" s="204"/>
      <c r="U11" s="204"/>
      <c r="V11" s="204"/>
      <c r="W11" s="204"/>
      <c r="X11" s="204"/>
      <c r="Y11" s="204"/>
      <c r="Z11" s="204"/>
      <c r="AA11" s="204"/>
      <c r="AB11" s="204"/>
      <c r="AC11" s="204"/>
      <c r="AD11" s="204"/>
      <c r="AE11" s="204"/>
      <c r="AF11" s="148" t="s">
        <v>926</v>
      </c>
      <c r="AG11" s="149" t="s">
        <v>927</v>
      </c>
    </row>
    <row r="12" spans="1:33" ht="24.95" customHeight="1" x14ac:dyDescent="0.2">
      <c r="A12" s="141" t="s">
        <v>938</v>
      </c>
      <c r="B12" s="142" t="s">
        <v>939</v>
      </c>
      <c r="C12" s="143" t="s">
        <v>930</v>
      </c>
      <c r="D12" s="143" t="s">
        <v>930</v>
      </c>
      <c r="E12" s="144" t="s">
        <v>925</v>
      </c>
      <c r="F12" s="145">
        <v>3214</v>
      </c>
      <c r="G12" s="146">
        <v>3741</v>
      </c>
      <c r="H12" s="146">
        <v>66</v>
      </c>
      <c r="I12" s="201"/>
      <c r="J12" s="147">
        <v>3272</v>
      </c>
      <c r="K12" s="146">
        <v>3741</v>
      </c>
      <c r="L12" s="146">
        <v>58</v>
      </c>
      <c r="M12" s="146">
        <v>3047</v>
      </c>
      <c r="N12" s="146">
        <v>1</v>
      </c>
      <c r="O12" s="146">
        <v>2500</v>
      </c>
      <c r="P12" s="204"/>
      <c r="Q12" s="204"/>
      <c r="R12" s="204"/>
      <c r="S12" s="204"/>
      <c r="T12" s="204"/>
      <c r="U12" s="204"/>
      <c r="V12" s="204"/>
      <c r="W12" s="204"/>
      <c r="X12" s="204"/>
      <c r="Y12" s="204"/>
      <c r="Z12" s="204"/>
      <c r="AA12" s="204"/>
      <c r="AB12" s="204"/>
      <c r="AC12" s="204"/>
      <c r="AD12" s="204"/>
      <c r="AE12" s="204"/>
      <c r="AF12" s="148" t="s">
        <v>926</v>
      </c>
      <c r="AG12" s="149" t="s">
        <v>927</v>
      </c>
    </row>
    <row r="13" spans="1:33" ht="24.95" customHeight="1" x14ac:dyDescent="0.2">
      <c r="A13" s="141" t="s">
        <v>940</v>
      </c>
      <c r="B13" s="142" t="s">
        <v>941</v>
      </c>
      <c r="C13" s="143" t="s">
        <v>930</v>
      </c>
      <c r="D13" s="143" t="s">
        <v>930</v>
      </c>
      <c r="E13" s="144" t="s">
        <v>925</v>
      </c>
      <c r="F13" s="145">
        <v>3100</v>
      </c>
      <c r="G13" s="146">
        <v>3100</v>
      </c>
      <c r="H13" s="146">
        <v>46</v>
      </c>
      <c r="I13" s="201"/>
      <c r="J13" s="147">
        <v>3450</v>
      </c>
      <c r="K13" s="146">
        <v>3500</v>
      </c>
      <c r="L13" s="146">
        <v>56</v>
      </c>
      <c r="M13" s="146">
        <v>3136</v>
      </c>
      <c r="N13" s="146">
        <v>0</v>
      </c>
      <c r="O13" s="146">
        <v>2931</v>
      </c>
      <c r="P13" s="204"/>
      <c r="Q13" s="204"/>
      <c r="R13" s="204"/>
      <c r="S13" s="204"/>
      <c r="T13" s="204"/>
      <c r="U13" s="204"/>
      <c r="V13" s="204"/>
      <c r="W13" s="204"/>
      <c r="X13" s="204"/>
      <c r="Y13" s="204"/>
      <c r="Z13" s="204"/>
      <c r="AA13" s="204"/>
      <c r="AB13" s="204"/>
      <c r="AC13" s="204"/>
      <c r="AD13" s="204"/>
      <c r="AE13" s="204"/>
      <c r="AF13" s="148" t="s">
        <v>926</v>
      </c>
      <c r="AG13" s="149" t="s">
        <v>927</v>
      </c>
    </row>
    <row r="14" spans="1:33" ht="24.95" customHeight="1" x14ac:dyDescent="0.2">
      <c r="A14" s="141" t="s">
        <v>942</v>
      </c>
      <c r="B14" s="142" t="s">
        <v>943</v>
      </c>
      <c r="C14" s="143" t="s">
        <v>944</v>
      </c>
      <c r="D14" s="143" t="s">
        <v>944</v>
      </c>
      <c r="E14" s="144" t="s">
        <v>925</v>
      </c>
      <c r="F14" s="145">
        <v>10926</v>
      </c>
      <c r="G14" s="146">
        <v>0</v>
      </c>
      <c r="H14" s="146">
        <v>1</v>
      </c>
      <c r="I14" s="201"/>
      <c r="J14" s="147">
        <v>12040</v>
      </c>
      <c r="K14" s="146">
        <v>12346</v>
      </c>
      <c r="L14" s="146">
        <v>3</v>
      </c>
      <c r="M14" s="146">
        <v>1093</v>
      </c>
      <c r="N14" s="146">
        <v>0</v>
      </c>
      <c r="O14" s="146">
        <v>18</v>
      </c>
      <c r="P14" s="204"/>
      <c r="Q14" s="204"/>
      <c r="R14" s="204"/>
      <c r="S14" s="204"/>
      <c r="T14" s="204"/>
      <c r="U14" s="204"/>
      <c r="V14" s="204"/>
      <c r="W14" s="204"/>
      <c r="X14" s="204"/>
      <c r="Y14" s="204"/>
      <c r="Z14" s="204"/>
      <c r="AA14" s="204"/>
      <c r="AB14" s="204"/>
      <c r="AC14" s="204"/>
      <c r="AD14" s="204"/>
      <c r="AE14" s="204"/>
      <c r="AF14" s="148" t="s">
        <v>926</v>
      </c>
      <c r="AG14" s="149" t="s">
        <v>927</v>
      </c>
    </row>
    <row r="15" spans="1:33" ht="24.95" customHeight="1" x14ac:dyDescent="0.2">
      <c r="A15" s="141" t="s">
        <v>945</v>
      </c>
      <c r="B15" s="142" t="s">
        <v>946</v>
      </c>
      <c r="C15" s="143" t="s">
        <v>947</v>
      </c>
      <c r="D15" s="143" t="s">
        <v>947</v>
      </c>
      <c r="E15" s="144" t="s">
        <v>948</v>
      </c>
      <c r="F15" s="145">
        <v>16963</v>
      </c>
      <c r="G15" s="146">
        <v>16933</v>
      </c>
      <c r="H15" s="146">
        <v>285</v>
      </c>
      <c r="I15" s="201"/>
      <c r="J15" s="147">
        <v>14438</v>
      </c>
      <c r="K15" s="146">
        <v>15400</v>
      </c>
      <c r="L15" s="146">
        <v>226</v>
      </c>
      <c r="M15" s="146">
        <v>16644</v>
      </c>
      <c r="N15" s="146">
        <v>0</v>
      </c>
      <c r="O15" s="146">
        <v>15501</v>
      </c>
      <c r="P15" s="204"/>
      <c r="Q15" s="204"/>
      <c r="R15" s="204"/>
      <c r="S15" s="204"/>
      <c r="T15" s="204"/>
      <c r="U15" s="204"/>
      <c r="V15" s="204"/>
      <c r="W15" s="204"/>
      <c r="X15" s="204"/>
      <c r="Y15" s="204"/>
      <c r="Z15" s="204"/>
      <c r="AA15" s="204"/>
      <c r="AB15" s="204"/>
      <c r="AC15" s="204"/>
      <c r="AD15" s="204"/>
      <c r="AE15" s="204"/>
      <c r="AF15" s="148" t="s">
        <v>926</v>
      </c>
      <c r="AG15" s="149" t="s">
        <v>927</v>
      </c>
    </row>
    <row r="16" spans="1:33" ht="24.95" customHeight="1" x14ac:dyDescent="0.2">
      <c r="A16" s="141" t="s">
        <v>949</v>
      </c>
      <c r="B16" s="142" t="s">
        <v>950</v>
      </c>
      <c r="C16" s="143" t="s">
        <v>947</v>
      </c>
      <c r="D16" s="143" t="s">
        <v>947</v>
      </c>
      <c r="E16" s="144" t="s">
        <v>951</v>
      </c>
      <c r="F16" s="145">
        <v>4505</v>
      </c>
      <c r="G16" s="146">
        <v>4505</v>
      </c>
      <c r="H16" s="146">
        <v>99</v>
      </c>
      <c r="I16" s="201"/>
      <c r="J16" s="147">
        <v>4471</v>
      </c>
      <c r="K16" s="146">
        <v>4964</v>
      </c>
      <c r="L16" s="146">
        <v>102</v>
      </c>
      <c r="M16" s="146">
        <v>7711</v>
      </c>
      <c r="N16" s="146">
        <v>0</v>
      </c>
      <c r="O16" s="146">
        <v>7876</v>
      </c>
      <c r="P16" s="204"/>
      <c r="Q16" s="204"/>
      <c r="R16" s="204"/>
      <c r="S16" s="204"/>
      <c r="T16" s="204"/>
      <c r="U16" s="204"/>
      <c r="V16" s="204"/>
      <c r="W16" s="204"/>
      <c r="X16" s="204"/>
      <c r="Y16" s="204"/>
      <c r="Z16" s="204"/>
      <c r="AA16" s="204"/>
      <c r="AB16" s="204"/>
      <c r="AC16" s="204"/>
      <c r="AD16" s="204"/>
      <c r="AE16" s="204"/>
      <c r="AF16" s="148" t="s">
        <v>926</v>
      </c>
      <c r="AG16" s="149" t="s">
        <v>927</v>
      </c>
    </row>
    <row r="17" spans="1:33" ht="24.95" customHeight="1" x14ac:dyDescent="0.2">
      <c r="A17" s="141" t="s">
        <v>952</v>
      </c>
      <c r="B17" s="142" t="s">
        <v>953</v>
      </c>
      <c r="C17" s="143" t="s">
        <v>947</v>
      </c>
      <c r="D17" s="143" t="s">
        <v>947</v>
      </c>
      <c r="E17" s="144" t="s">
        <v>951</v>
      </c>
      <c r="F17" s="145">
        <v>2495</v>
      </c>
      <c r="G17" s="146">
        <f>786+385+388+1549</f>
        <v>3108</v>
      </c>
      <c r="H17" s="146">
        <v>60</v>
      </c>
      <c r="I17" s="201"/>
      <c r="J17" s="147">
        <v>2340</v>
      </c>
      <c r="K17" s="146">
        <v>3108</v>
      </c>
      <c r="L17" s="146">
        <v>64</v>
      </c>
      <c r="M17" s="146">
        <v>6213</v>
      </c>
      <c r="N17" s="146">
        <v>0</v>
      </c>
      <c r="O17" s="146">
        <v>6164</v>
      </c>
      <c r="P17" s="204"/>
      <c r="Q17" s="204"/>
      <c r="R17" s="204"/>
      <c r="S17" s="204"/>
      <c r="T17" s="204"/>
      <c r="U17" s="204"/>
      <c r="V17" s="204"/>
      <c r="W17" s="204"/>
      <c r="X17" s="204"/>
      <c r="Y17" s="204"/>
      <c r="Z17" s="204"/>
      <c r="AA17" s="204"/>
      <c r="AB17" s="204"/>
      <c r="AC17" s="204"/>
      <c r="AD17" s="204"/>
      <c r="AE17" s="204"/>
      <c r="AF17" s="148" t="s">
        <v>926</v>
      </c>
      <c r="AG17" s="149" t="s">
        <v>927</v>
      </c>
    </row>
    <row r="18" spans="1:33" ht="24.95" customHeight="1" x14ac:dyDescent="0.2">
      <c r="A18" s="141" t="s">
        <v>954</v>
      </c>
      <c r="B18" s="156" t="s">
        <v>955</v>
      </c>
      <c r="C18" s="143" t="s">
        <v>947</v>
      </c>
      <c r="D18" s="143" t="s">
        <v>947</v>
      </c>
      <c r="E18" s="144" t="s">
        <v>948</v>
      </c>
      <c r="F18" s="145">
        <v>2072</v>
      </c>
      <c r="G18" s="146">
        <f>179+391+715+2413+4259</f>
        <v>7957</v>
      </c>
      <c r="H18" s="146">
        <v>108</v>
      </c>
      <c r="I18" s="201"/>
      <c r="J18" s="147">
        <v>1883</v>
      </c>
      <c r="K18" s="146">
        <v>9359</v>
      </c>
      <c r="L18" s="146">
        <v>106</v>
      </c>
      <c r="M18" s="146">
        <v>7654</v>
      </c>
      <c r="N18" s="146">
        <v>1</v>
      </c>
      <c r="O18" s="146">
        <v>7700</v>
      </c>
      <c r="P18" s="204"/>
      <c r="Q18" s="204"/>
      <c r="R18" s="204"/>
      <c r="S18" s="204"/>
      <c r="T18" s="204"/>
      <c r="U18" s="204"/>
      <c r="V18" s="204"/>
      <c r="W18" s="204"/>
      <c r="X18" s="204"/>
      <c r="Y18" s="204"/>
      <c r="Z18" s="204"/>
      <c r="AA18" s="204"/>
      <c r="AB18" s="204"/>
      <c r="AC18" s="204"/>
      <c r="AD18" s="204"/>
      <c r="AE18" s="204"/>
      <c r="AF18" s="148" t="s">
        <v>926</v>
      </c>
      <c r="AG18" s="149" t="s">
        <v>927</v>
      </c>
    </row>
    <row r="19" spans="1:33" ht="24.95" customHeight="1" x14ac:dyDescent="0.2">
      <c r="A19" s="141" t="s">
        <v>956</v>
      </c>
      <c r="B19" s="142" t="s">
        <v>957</v>
      </c>
      <c r="C19" s="143" t="s">
        <v>947</v>
      </c>
      <c r="D19" s="143" t="s">
        <v>947</v>
      </c>
      <c r="E19" s="144" t="s">
        <v>951</v>
      </c>
      <c r="F19" s="145">
        <v>3825</v>
      </c>
      <c r="G19" s="146">
        <f>1175+3900</f>
        <v>5075</v>
      </c>
      <c r="H19" s="146">
        <v>119</v>
      </c>
      <c r="I19" s="201"/>
      <c r="J19" s="147">
        <v>3675</v>
      </c>
      <c r="K19" s="146">
        <v>5075</v>
      </c>
      <c r="L19" s="146">
        <v>112</v>
      </c>
      <c r="M19" s="146">
        <v>6642</v>
      </c>
      <c r="N19" s="146">
        <v>0</v>
      </c>
      <c r="O19" s="146">
        <v>6684</v>
      </c>
      <c r="P19" s="204"/>
      <c r="Q19" s="204"/>
      <c r="R19" s="204"/>
      <c r="S19" s="204"/>
      <c r="T19" s="204"/>
      <c r="U19" s="204"/>
      <c r="V19" s="204"/>
      <c r="W19" s="204"/>
      <c r="X19" s="204"/>
      <c r="Y19" s="204"/>
      <c r="Z19" s="204"/>
      <c r="AA19" s="204"/>
      <c r="AB19" s="204"/>
      <c r="AC19" s="204"/>
      <c r="AD19" s="204"/>
      <c r="AE19" s="204"/>
      <c r="AF19" s="148" t="s">
        <v>926</v>
      </c>
      <c r="AG19" s="149" t="s">
        <v>927</v>
      </c>
    </row>
    <row r="20" spans="1:33" ht="24.95" customHeight="1" x14ac:dyDescent="0.2">
      <c r="A20" s="141" t="s">
        <v>958</v>
      </c>
      <c r="B20" s="142" t="s">
        <v>959</v>
      </c>
      <c r="C20" s="143" t="s">
        <v>947</v>
      </c>
      <c r="D20" s="143" t="s">
        <v>947</v>
      </c>
      <c r="E20" s="144" t="s">
        <v>948</v>
      </c>
      <c r="F20" s="145">
        <v>7875</v>
      </c>
      <c r="G20" s="146">
        <v>9082</v>
      </c>
      <c r="H20" s="146">
        <v>247</v>
      </c>
      <c r="I20" s="201"/>
      <c r="J20" s="147">
        <v>8617</v>
      </c>
      <c r="K20" s="146">
        <v>9082</v>
      </c>
      <c r="L20" s="146">
        <v>248</v>
      </c>
      <c r="M20" s="146">
        <v>16933</v>
      </c>
      <c r="N20" s="146">
        <v>0</v>
      </c>
      <c r="O20" s="146">
        <v>16773</v>
      </c>
      <c r="P20" s="204"/>
      <c r="Q20" s="204"/>
      <c r="R20" s="204"/>
      <c r="S20" s="204"/>
      <c r="T20" s="204"/>
      <c r="U20" s="204"/>
      <c r="V20" s="204"/>
      <c r="W20" s="204"/>
      <c r="X20" s="204"/>
      <c r="Y20" s="204"/>
      <c r="Z20" s="204"/>
      <c r="AA20" s="204"/>
      <c r="AB20" s="204"/>
      <c r="AC20" s="204"/>
      <c r="AD20" s="204"/>
      <c r="AE20" s="204"/>
      <c r="AF20" s="148" t="s">
        <v>926</v>
      </c>
      <c r="AG20" s="148" t="s">
        <v>960</v>
      </c>
    </row>
    <row r="21" spans="1:33" ht="24.95" customHeight="1" x14ac:dyDescent="0.2">
      <c r="A21" s="141" t="s">
        <v>961</v>
      </c>
      <c r="B21" s="142" t="s">
        <v>962</v>
      </c>
      <c r="C21" s="143" t="s">
        <v>947</v>
      </c>
      <c r="D21" s="143" t="s">
        <v>947</v>
      </c>
      <c r="E21" s="144" t="s">
        <v>948</v>
      </c>
      <c r="F21" s="145">
        <v>6111</v>
      </c>
      <c r="G21" s="146">
        <v>10511</v>
      </c>
      <c r="H21" s="146">
        <v>233</v>
      </c>
      <c r="I21" s="201"/>
      <c r="J21" s="147">
        <v>9439</v>
      </c>
      <c r="K21" s="146">
        <v>10511</v>
      </c>
      <c r="L21" s="146">
        <v>237</v>
      </c>
      <c r="M21" s="146">
        <v>15624</v>
      </c>
      <c r="N21" s="146">
        <v>1</v>
      </c>
      <c r="O21" s="146">
        <v>15707</v>
      </c>
      <c r="P21" s="204"/>
      <c r="Q21" s="204"/>
      <c r="R21" s="204"/>
      <c r="S21" s="204"/>
      <c r="T21" s="204"/>
      <c r="U21" s="204"/>
      <c r="V21" s="204"/>
      <c r="W21" s="204"/>
      <c r="X21" s="204"/>
      <c r="Y21" s="204"/>
      <c r="Z21" s="204"/>
      <c r="AA21" s="204"/>
      <c r="AB21" s="204"/>
      <c r="AC21" s="204"/>
      <c r="AD21" s="204"/>
      <c r="AE21" s="204"/>
      <c r="AF21" s="148" t="s">
        <v>926</v>
      </c>
      <c r="AG21" s="148" t="s">
        <v>960</v>
      </c>
    </row>
    <row r="22" spans="1:33" ht="24.95" customHeight="1" x14ac:dyDescent="0.2">
      <c r="A22" s="141" t="s">
        <v>963</v>
      </c>
      <c r="B22" s="142" t="s">
        <v>964</v>
      </c>
      <c r="C22" s="143" t="s">
        <v>947</v>
      </c>
      <c r="D22" s="143" t="s">
        <v>947</v>
      </c>
      <c r="E22" s="144" t="s">
        <v>948</v>
      </c>
      <c r="F22" s="145">
        <v>3720</v>
      </c>
      <c r="G22" s="146">
        <v>8395</v>
      </c>
      <c r="H22" s="146">
        <v>151</v>
      </c>
      <c r="I22" s="201"/>
      <c r="J22" s="147">
        <v>3958</v>
      </c>
      <c r="K22" s="146">
        <v>8395</v>
      </c>
      <c r="L22" s="146">
        <v>121</v>
      </c>
      <c r="M22" s="146">
        <v>6721</v>
      </c>
      <c r="N22" s="146">
        <v>1</v>
      </c>
      <c r="O22" s="146">
        <v>6843</v>
      </c>
      <c r="P22" s="204"/>
      <c r="Q22" s="204"/>
      <c r="R22" s="204"/>
      <c r="S22" s="204"/>
      <c r="T22" s="204"/>
      <c r="U22" s="204"/>
      <c r="V22" s="204"/>
      <c r="W22" s="204"/>
      <c r="X22" s="204"/>
      <c r="Y22" s="204"/>
      <c r="Z22" s="204"/>
      <c r="AA22" s="204"/>
      <c r="AB22" s="204"/>
      <c r="AC22" s="204"/>
      <c r="AD22" s="204"/>
      <c r="AE22" s="204"/>
      <c r="AF22" s="148" t="s">
        <v>926</v>
      </c>
      <c r="AG22" s="148" t="s">
        <v>960</v>
      </c>
    </row>
    <row r="23" spans="1:33" ht="24.95" customHeight="1" x14ac:dyDescent="0.2">
      <c r="A23" s="141" t="s">
        <v>965</v>
      </c>
      <c r="B23" s="142" t="s">
        <v>966</v>
      </c>
      <c r="C23" s="143" t="s">
        <v>947</v>
      </c>
      <c r="D23" s="143" t="s">
        <v>947</v>
      </c>
      <c r="E23" s="144" t="s">
        <v>951</v>
      </c>
      <c r="F23" s="145">
        <v>6245</v>
      </c>
      <c r="G23" s="146">
        <v>11905</v>
      </c>
      <c r="H23" s="146">
        <v>239</v>
      </c>
      <c r="I23" s="201"/>
      <c r="J23" s="147">
        <v>5863</v>
      </c>
      <c r="K23" s="146">
        <v>11905</v>
      </c>
      <c r="L23" s="146">
        <v>248</v>
      </c>
      <c r="M23" s="146">
        <v>10608</v>
      </c>
      <c r="N23" s="146">
        <v>0</v>
      </c>
      <c r="O23" s="146">
        <v>8958</v>
      </c>
      <c r="P23" s="204"/>
      <c r="Q23" s="204"/>
      <c r="R23" s="204"/>
      <c r="S23" s="204"/>
      <c r="T23" s="204"/>
      <c r="U23" s="204"/>
      <c r="V23" s="204"/>
      <c r="W23" s="204"/>
      <c r="X23" s="204"/>
      <c r="Y23" s="204"/>
      <c r="Z23" s="204"/>
      <c r="AA23" s="204"/>
      <c r="AB23" s="204"/>
      <c r="AC23" s="204"/>
      <c r="AD23" s="204"/>
      <c r="AE23" s="204"/>
      <c r="AF23" s="148" t="s">
        <v>926</v>
      </c>
      <c r="AG23" s="149" t="s">
        <v>927</v>
      </c>
    </row>
    <row r="24" spans="1:33" ht="24.95" customHeight="1" x14ac:dyDescent="0.2">
      <c r="A24" s="141" t="s">
        <v>967</v>
      </c>
      <c r="B24" s="142" t="s">
        <v>968</v>
      </c>
      <c r="C24" s="143" t="s">
        <v>947</v>
      </c>
      <c r="D24" s="143" t="s">
        <v>947</v>
      </c>
      <c r="E24" s="144" t="s">
        <v>951</v>
      </c>
      <c r="F24" s="145">
        <v>0</v>
      </c>
      <c r="G24" s="146">
        <v>2550</v>
      </c>
      <c r="H24" s="146">
        <v>8</v>
      </c>
      <c r="I24" s="201"/>
      <c r="J24" s="147">
        <v>0</v>
      </c>
      <c r="K24" s="146">
        <v>875</v>
      </c>
      <c r="L24" s="146">
        <v>0</v>
      </c>
      <c r="M24" s="146">
        <v>0</v>
      </c>
      <c r="N24" s="146">
        <v>0</v>
      </c>
      <c r="O24" s="146">
        <v>0</v>
      </c>
      <c r="P24" s="204"/>
      <c r="Q24" s="204"/>
      <c r="R24" s="204"/>
      <c r="S24" s="204"/>
      <c r="T24" s="204"/>
      <c r="U24" s="204"/>
      <c r="V24" s="204"/>
      <c r="W24" s="204"/>
      <c r="X24" s="204"/>
      <c r="Y24" s="204"/>
      <c r="Z24" s="204"/>
      <c r="AA24" s="204"/>
      <c r="AB24" s="204"/>
      <c r="AC24" s="204"/>
      <c r="AD24" s="204"/>
      <c r="AE24" s="204"/>
      <c r="AF24" s="148" t="s">
        <v>926</v>
      </c>
      <c r="AG24" s="149" t="s">
        <v>927</v>
      </c>
    </row>
    <row r="25" spans="1:33" ht="24.95" customHeight="1" x14ac:dyDescent="0.2">
      <c r="A25" s="141" t="s">
        <v>969</v>
      </c>
      <c r="B25" s="142" t="s">
        <v>970</v>
      </c>
      <c r="C25" s="143" t="s">
        <v>930</v>
      </c>
      <c r="D25" s="143" t="s">
        <v>930</v>
      </c>
      <c r="E25" s="144" t="s">
        <v>925</v>
      </c>
      <c r="F25" s="145">
        <f>20+6672</f>
        <v>6692</v>
      </c>
      <c r="G25" s="146">
        <f>12+9930</f>
        <v>9942</v>
      </c>
      <c r="H25" s="146">
        <v>10</v>
      </c>
      <c r="I25" s="201"/>
      <c r="J25" s="147">
        <v>6881</v>
      </c>
      <c r="K25" s="146">
        <v>9942</v>
      </c>
      <c r="L25" s="146">
        <v>8</v>
      </c>
      <c r="M25" s="146">
        <v>824</v>
      </c>
      <c r="N25" s="146">
        <v>0</v>
      </c>
      <c r="O25" s="146">
        <v>702</v>
      </c>
      <c r="P25" s="204"/>
      <c r="Q25" s="204"/>
      <c r="R25" s="204"/>
      <c r="S25" s="204"/>
      <c r="T25" s="204"/>
      <c r="U25" s="204"/>
      <c r="V25" s="204"/>
      <c r="W25" s="204"/>
      <c r="X25" s="204"/>
      <c r="Y25" s="204"/>
      <c r="Z25" s="204"/>
      <c r="AA25" s="204"/>
      <c r="AB25" s="204"/>
      <c r="AC25" s="204"/>
      <c r="AD25" s="204"/>
      <c r="AE25" s="204"/>
      <c r="AF25" s="148" t="s">
        <v>926</v>
      </c>
      <c r="AG25" s="149" t="s">
        <v>927</v>
      </c>
    </row>
    <row r="26" spans="1:33" ht="24.95" customHeight="1" x14ac:dyDescent="0.2">
      <c r="A26" s="141" t="s">
        <v>971</v>
      </c>
      <c r="B26" s="157" t="s">
        <v>972</v>
      </c>
      <c r="C26" s="143" t="s">
        <v>930</v>
      </c>
      <c r="D26" s="143" t="s">
        <v>930</v>
      </c>
      <c r="E26" s="144" t="s">
        <v>925</v>
      </c>
      <c r="F26" s="145">
        <f>520+6810</f>
        <v>7330</v>
      </c>
      <c r="G26" s="146">
        <f>1955+1725+3630+20</f>
        <v>7330</v>
      </c>
      <c r="H26" s="146">
        <v>108</v>
      </c>
      <c r="I26" s="201"/>
      <c r="J26" s="147">
        <v>7243</v>
      </c>
      <c r="K26" s="146">
        <v>7330</v>
      </c>
      <c r="L26" s="146">
        <v>108</v>
      </c>
      <c r="M26" s="146">
        <v>2928</v>
      </c>
      <c r="N26" s="146">
        <v>0</v>
      </c>
      <c r="O26" s="146">
        <v>3286</v>
      </c>
      <c r="P26" s="204"/>
      <c r="Q26" s="204"/>
      <c r="R26" s="204"/>
      <c r="S26" s="204"/>
      <c r="T26" s="204"/>
      <c r="U26" s="204"/>
      <c r="V26" s="204"/>
      <c r="W26" s="204"/>
      <c r="X26" s="204"/>
      <c r="Y26" s="204"/>
      <c r="Z26" s="204"/>
      <c r="AA26" s="204"/>
      <c r="AB26" s="204"/>
      <c r="AC26" s="204"/>
      <c r="AD26" s="204"/>
      <c r="AE26" s="204"/>
      <c r="AF26" s="148" t="s">
        <v>926</v>
      </c>
      <c r="AG26" s="148" t="s">
        <v>960</v>
      </c>
    </row>
    <row r="27" spans="1:33" ht="24.95" customHeight="1" x14ac:dyDescent="0.2">
      <c r="A27" s="141" t="s">
        <v>973</v>
      </c>
      <c r="B27" s="157" t="s">
        <v>974</v>
      </c>
      <c r="C27" s="143" t="s">
        <v>930</v>
      </c>
      <c r="D27" s="143" t="s">
        <v>930</v>
      </c>
      <c r="E27" s="144" t="s">
        <v>975</v>
      </c>
      <c r="F27" s="145">
        <v>5450</v>
      </c>
      <c r="G27" s="146">
        <v>7518</v>
      </c>
      <c r="H27" s="146">
        <v>67</v>
      </c>
      <c r="I27" s="201"/>
      <c r="J27" s="147">
        <v>5344</v>
      </c>
      <c r="K27" s="146">
        <v>7520</v>
      </c>
      <c r="L27" s="146">
        <v>0</v>
      </c>
      <c r="M27" s="146">
        <v>0</v>
      </c>
      <c r="N27" s="146">
        <v>2</v>
      </c>
      <c r="O27" s="146">
        <v>0</v>
      </c>
      <c r="P27" s="204"/>
      <c r="Q27" s="204"/>
      <c r="R27" s="204"/>
      <c r="S27" s="204"/>
      <c r="T27" s="204"/>
      <c r="U27" s="204"/>
      <c r="V27" s="204"/>
      <c r="W27" s="204"/>
      <c r="X27" s="204"/>
      <c r="Y27" s="204"/>
      <c r="Z27" s="204"/>
      <c r="AA27" s="204"/>
      <c r="AB27" s="204"/>
      <c r="AC27" s="204"/>
      <c r="AD27" s="204"/>
      <c r="AE27" s="204"/>
      <c r="AF27" s="148" t="s">
        <v>926</v>
      </c>
      <c r="AG27" s="148" t="s">
        <v>960</v>
      </c>
    </row>
    <row r="28" spans="1:33" ht="24.95" customHeight="1" x14ac:dyDescent="0.2">
      <c r="A28" s="141" t="s">
        <v>976</v>
      </c>
      <c r="B28" s="142" t="s">
        <v>977</v>
      </c>
      <c r="C28" s="143" t="s">
        <v>937</v>
      </c>
      <c r="D28" s="143" t="s">
        <v>937</v>
      </c>
      <c r="E28" s="144" t="s">
        <v>978</v>
      </c>
      <c r="F28" s="145">
        <f>553+1932</f>
        <v>2485</v>
      </c>
      <c r="G28" s="146">
        <f>400+576+1684</f>
        <v>2660</v>
      </c>
      <c r="H28" s="146">
        <v>48</v>
      </c>
      <c r="I28" s="201"/>
      <c r="J28" s="147">
        <v>3340</v>
      </c>
      <c r="K28" s="146">
        <v>3856</v>
      </c>
      <c r="L28" s="146">
        <v>48</v>
      </c>
      <c r="M28" s="146">
        <v>2942</v>
      </c>
      <c r="N28" s="146">
        <v>1</v>
      </c>
      <c r="O28" s="146">
        <v>2856</v>
      </c>
      <c r="P28" s="204"/>
      <c r="Q28" s="204"/>
      <c r="R28" s="204"/>
      <c r="S28" s="204"/>
      <c r="T28" s="204"/>
      <c r="U28" s="204"/>
      <c r="V28" s="204"/>
      <c r="W28" s="204"/>
      <c r="X28" s="204"/>
      <c r="Y28" s="204"/>
      <c r="Z28" s="204"/>
      <c r="AA28" s="204"/>
      <c r="AB28" s="204"/>
      <c r="AC28" s="204"/>
      <c r="AD28" s="204"/>
      <c r="AE28" s="204"/>
      <c r="AF28" s="148" t="s">
        <v>926</v>
      </c>
      <c r="AG28" s="149" t="s">
        <v>927</v>
      </c>
    </row>
    <row r="29" spans="1:33" ht="24.95" customHeight="1" x14ac:dyDescent="0.2">
      <c r="A29" s="141" t="s">
        <v>979</v>
      </c>
      <c r="B29" s="142" t="s">
        <v>980</v>
      </c>
      <c r="C29" s="143" t="s">
        <v>937</v>
      </c>
      <c r="D29" s="143" t="s">
        <v>937</v>
      </c>
      <c r="E29" s="144" t="s">
        <v>925</v>
      </c>
      <c r="F29" s="145">
        <f>795+1520</f>
        <v>2315</v>
      </c>
      <c r="G29" s="146">
        <f>285+2020</f>
        <v>2305</v>
      </c>
      <c r="H29" s="146">
        <v>24</v>
      </c>
      <c r="I29" s="201"/>
      <c r="J29" s="147">
        <v>3426</v>
      </c>
      <c r="K29" s="146">
        <v>3151</v>
      </c>
      <c r="L29" s="146">
        <v>27</v>
      </c>
      <c r="M29" s="146">
        <v>2341</v>
      </c>
      <c r="N29" s="146">
        <v>0</v>
      </c>
      <c r="O29" s="146">
        <v>1764</v>
      </c>
      <c r="P29" s="204"/>
      <c r="Q29" s="204"/>
      <c r="R29" s="204"/>
      <c r="S29" s="204"/>
      <c r="T29" s="204"/>
      <c r="U29" s="204"/>
      <c r="V29" s="204"/>
      <c r="W29" s="204"/>
      <c r="X29" s="204"/>
      <c r="Y29" s="204"/>
      <c r="Z29" s="204"/>
      <c r="AA29" s="204"/>
      <c r="AB29" s="204"/>
      <c r="AC29" s="204"/>
      <c r="AD29" s="204"/>
      <c r="AE29" s="204"/>
      <c r="AF29" s="148" t="s">
        <v>926</v>
      </c>
      <c r="AG29" s="149" t="s">
        <v>927</v>
      </c>
    </row>
    <row r="30" spans="1:33" ht="24.95" customHeight="1" x14ac:dyDescent="0.2">
      <c r="A30" s="141" t="s">
        <v>981</v>
      </c>
      <c r="B30" s="142" t="s">
        <v>982</v>
      </c>
      <c r="C30" s="143" t="s">
        <v>937</v>
      </c>
      <c r="D30" s="143" t="s">
        <v>937</v>
      </c>
      <c r="E30" s="144" t="s">
        <v>925</v>
      </c>
      <c r="F30" s="145">
        <v>12445</v>
      </c>
      <c r="G30" s="146">
        <v>11775</v>
      </c>
      <c r="H30" s="146">
        <v>160</v>
      </c>
      <c r="I30" s="201"/>
      <c r="J30" s="147">
        <v>12129</v>
      </c>
      <c r="K30" s="146">
        <v>11113</v>
      </c>
      <c r="L30" s="146">
        <v>138</v>
      </c>
      <c r="M30" s="146">
        <v>8813</v>
      </c>
      <c r="N30" s="146">
        <v>4</v>
      </c>
      <c r="O30" s="146">
        <v>9936</v>
      </c>
      <c r="P30" s="204"/>
      <c r="Q30" s="204"/>
      <c r="R30" s="204"/>
      <c r="S30" s="204"/>
      <c r="T30" s="204"/>
      <c r="U30" s="204"/>
      <c r="V30" s="204"/>
      <c r="W30" s="204"/>
      <c r="X30" s="204"/>
      <c r="Y30" s="204"/>
      <c r="Z30" s="204"/>
      <c r="AA30" s="204"/>
      <c r="AB30" s="204"/>
      <c r="AC30" s="204"/>
      <c r="AD30" s="204"/>
      <c r="AE30" s="204"/>
      <c r="AF30" s="148" t="s">
        <v>926</v>
      </c>
      <c r="AG30" s="148" t="s">
        <v>960</v>
      </c>
    </row>
    <row r="31" spans="1:33" ht="24.95" customHeight="1" x14ac:dyDescent="0.2">
      <c r="A31" s="141" t="s">
        <v>983</v>
      </c>
      <c r="B31" s="142" t="s">
        <v>984</v>
      </c>
      <c r="C31" s="143" t="s">
        <v>937</v>
      </c>
      <c r="D31" s="143" t="s">
        <v>937</v>
      </c>
      <c r="E31" s="144" t="s">
        <v>925</v>
      </c>
      <c r="F31" s="145">
        <f>4975+1765</f>
        <v>6740</v>
      </c>
      <c r="G31" s="146">
        <f>1535+5475</f>
        <v>7010</v>
      </c>
      <c r="H31" s="146">
        <v>139</v>
      </c>
      <c r="I31" s="201"/>
      <c r="J31" s="147">
        <v>7564</v>
      </c>
      <c r="K31" s="146">
        <v>9040</v>
      </c>
      <c r="L31" s="146">
        <v>143</v>
      </c>
      <c r="M31" s="146">
        <v>9705</v>
      </c>
      <c r="N31" s="146">
        <v>10</v>
      </c>
      <c r="O31" s="146">
        <v>10138</v>
      </c>
      <c r="P31" s="204"/>
      <c r="Q31" s="204"/>
      <c r="R31" s="204"/>
      <c r="S31" s="204"/>
      <c r="T31" s="204"/>
      <c r="U31" s="204"/>
      <c r="V31" s="204"/>
      <c r="W31" s="204"/>
      <c r="X31" s="204"/>
      <c r="Y31" s="204"/>
      <c r="Z31" s="204"/>
      <c r="AA31" s="204"/>
      <c r="AB31" s="204"/>
      <c r="AC31" s="204"/>
      <c r="AD31" s="204"/>
      <c r="AE31" s="204"/>
      <c r="AF31" s="148" t="s">
        <v>926</v>
      </c>
      <c r="AG31" s="149" t="s">
        <v>927</v>
      </c>
    </row>
    <row r="32" spans="1:33" ht="24.95" customHeight="1" x14ac:dyDescent="0.2">
      <c r="A32" s="141" t="s">
        <v>985</v>
      </c>
      <c r="B32" s="142" t="s">
        <v>986</v>
      </c>
      <c r="C32" s="143" t="s">
        <v>987</v>
      </c>
      <c r="D32" s="143" t="s">
        <v>987</v>
      </c>
      <c r="E32" s="144" t="s">
        <v>925</v>
      </c>
      <c r="F32" s="145">
        <v>3685</v>
      </c>
      <c r="G32" s="146">
        <v>4895</v>
      </c>
      <c r="H32" s="146">
        <v>73</v>
      </c>
      <c r="I32" s="201"/>
      <c r="J32" s="147">
        <v>4487</v>
      </c>
      <c r="K32" s="146">
        <v>3739</v>
      </c>
      <c r="L32" s="146">
        <v>66</v>
      </c>
      <c r="M32" s="146">
        <v>4822</v>
      </c>
      <c r="N32" s="146">
        <v>6</v>
      </c>
      <c r="O32" s="146">
        <v>4885</v>
      </c>
      <c r="P32" s="204"/>
      <c r="Q32" s="204"/>
      <c r="R32" s="204"/>
      <c r="S32" s="204"/>
      <c r="T32" s="204"/>
      <c r="U32" s="204"/>
      <c r="V32" s="204"/>
      <c r="W32" s="204"/>
      <c r="X32" s="204"/>
      <c r="Y32" s="204"/>
      <c r="Z32" s="204"/>
      <c r="AA32" s="204"/>
      <c r="AB32" s="204"/>
      <c r="AC32" s="204"/>
      <c r="AD32" s="204"/>
      <c r="AE32" s="204"/>
      <c r="AF32" s="148" t="s">
        <v>926</v>
      </c>
      <c r="AG32" s="149" t="s">
        <v>927</v>
      </c>
    </row>
    <row r="33" spans="1:33" ht="24.95" customHeight="1" x14ac:dyDescent="0.2">
      <c r="A33" s="141" t="s">
        <v>988</v>
      </c>
      <c r="B33" s="142" t="s">
        <v>989</v>
      </c>
      <c r="C33" s="143" t="s">
        <v>930</v>
      </c>
      <c r="D33" s="143" t="s">
        <v>930</v>
      </c>
      <c r="E33" s="144" t="s">
        <v>925</v>
      </c>
      <c r="F33" s="145">
        <f>690+5975</f>
        <v>6665</v>
      </c>
      <c r="G33" s="146">
        <f>1575+4750</f>
        <v>6325</v>
      </c>
      <c r="H33" s="146">
        <v>107</v>
      </c>
      <c r="I33" s="201"/>
      <c r="J33" s="147">
        <v>6486</v>
      </c>
      <c r="K33" s="146">
        <v>7343</v>
      </c>
      <c r="L33" s="146">
        <v>86</v>
      </c>
      <c r="M33" s="146">
        <v>4373</v>
      </c>
      <c r="N33" s="146">
        <v>4</v>
      </c>
      <c r="O33" s="146">
        <v>3695</v>
      </c>
      <c r="P33" s="204"/>
      <c r="Q33" s="204"/>
      <c r="R33" s="204"/>
      <c r="S33" s="204"/>
      <c r="T33" s="204"/>
      <c r="U33" s="204"/>
      <c r="V33" s="204"/>
      <c r="W33" s="204"/>
      <c r="X33" s="204"/>
      <c r="Y33" s="204"/>
      <c r="Z33" s="204"/>
      <c r="AA33" s="204"/>
      <c r="AB33" s="204"/>
      <c r="AC33" s="204"/>
      <c r="AD33" s="204"/>
      <c r="AE33" s="204"/>
      <c r="AF33" s="148" t="s">
        <v>926</v>
      </c>
      <c r="AG33" s="149" t="s">
        <v>927</v>
      </c>
    </row>
    <row r="34" spans="1:33" ht="24.95" customHeight="1" x14ac:dyDescent="0.2">
      <c r="A34" s="141" t="s">
        <v>990</v>
      </c>
      <c r="B34" s="157" t="s">
        <v>991</v>
      </c>
      <c r="C34" s="143" t="s">
        <v>930</v>
      </c>
      <c r="D34" s="143" t="s">
        <v>930</v>
      </c>
      <c r="E34" s="144" t="s">
        <v>925</v>
      </c>
      <c r="F34" s="145">
        <v>235</v>
      </c>
      <c r="G34" s="146">
        <v>285</v>
      </c>
      <c r="H34" s="146">
        <v>1</v>
      </c>
      <c r="I34" s="201"/>
      <c r="J34" s="147">
        <v>202</v>
      </c>
      <c r="K34" s="146">
        <v>385</v>
      </c>
      <c r="L34" s="146">
        <v>1</v>
      </c>
      <c r="M34" s="146">
        <v>31</v>
      </c>
      <c r="N34" s="146">
        <v>0</v>
      </c>
      <c r="O34" s="146">
        <v>38</v>
      </c>
      <c r="P34" s="204"/>
      <c r="Q34" s="204"/>
      <c r="R34" s="204"/>
      <c r="S34" s="204"/>
      <c r="T34" s="204"/>
      <c r="U34" s="204"/>
      <c r="V34" s="204"/>
      <c r="W34" s="204"/>
      <c r="X34" s="204"/>
      <c r="Y34" s="204"/>
      <c r="Z34" s="204"/>
      <c r="AA34" s="204"/>
      <c r="AB34" s="204"/>
      <c r="AC34" s="204"/>
      <c r="AD34" s="204"/>
      <c r="AE34" s="204"/>
      <c r="AF34" s="148" t="s">
        <v>926</v>
      </c>
      <c r="AG34" s="148" t="s">
        <v>960</v>
      </c>
    </row>
    <row r="35" spans="1:33" ht="24.95" customHeight="1" x14ac:dyDescent="0.2">
      <c r="A35" s="141" t="s">
        <v>992</v>
      </c>
      <c r="B35" s="142" t="s">
        <v>993</v>
      </c>
      <c r="C35" s="143" t="s">
        <v>930</v>
      </c>
      <c r="D35" s="143" t="s">
        <v>930</v>
      </c>
      <c r="E35" s="144" t="s">
        <v>925</v>
      </c>
      <c r="F35" s="145">
        <v>3660</v>
      </c>
      <c r="G35" s="146">
        <v>4220</v>
      </c>
      <c r="H35" s="146">
        <v>52</v>
      </c>
      <c r="I35" s="201"/>
      <c r="J35" s="147">
        <v>3942</v>
      </c>
      <c r="K35" s="146">
        <v>4208</v>
      </c>
      <c r="L35" s="146">
        <v>50</v>
      </c>
      <c r="M35" s="146">
        <v>4965</v>
      </c>
      <c r="N35" s="146">
        <v>1</v>
      </c>
      <c r="O35" s="146">
        <v>5267</v>
      </c>
      <c r="P35" s="204"/>
      <c r="Q35" s="204"/>
      <c r="R35" s="204"/>
      <c r="S35" s="204"/>
      <c r="T35" s="204"/>
      <c r="U35" s="204"/>
      <c r="V35" s="204"/>
      <c r="W35" s="204"/>
      <c r="X35" s="204"/>
      <c r="Y35" s="204"/>
      <c r="Z35" s="204"/>
      <c r="AA35" s="204"/>
      <c r="AB35" s="204"/>
      <c r="AC35" s="204"/>
      <c r="AD35" s="204"/>
      <c r="AE35" s="204"/>
      <c r="AF35" s="148" t="s">
        <v>926</v>
      </c>
      <c r="AG35" s="148" t="s">
        <v>960</v>
      </c>
    </row>
    <row r="36" spans="1:33" ht="24.95" customHeight="1" x14ac:dyDescent="0.2">
      <c r="A36" s="141" t="s">
        <v>994</v>
      </c>
      <c r="B36" s="142" t="s">
        <v>995</v>
      </c>
      <c r="C36" s="143" t="s">
        <v>930</v>
      </c>
      <c r="D36" s="143" t="s">
        <v>930</v>
      </c>
      <c r="E36" s="144" t="s">
        <v>925</v>
      </c>
      <c r="F36" s="145">
        <v>24550</v>
      </c>
      <c r="G36" s="146">
        <v>24415</v>
      </c>
      <c r="H36" s="146">
        <v>0</v>
      </c>
      <c r="I36" s="201"/>
      <c r="J36" s="147">
        <v>25050</v>
      </c>
      <c r="K36" s="146">
        <v>24330</v>
      </c>
      <c r="L36" s="146">
        <v>0</v>
      </c>
      <c r="M36" s="146">
        <v>0</v>
      </c>
      <c r="N36" s="146">
        <v>0</v>
      </c>
      <c r="O36" s="146">
        <v>0</v>
      </c>
      <c r="P36" s="204"/>
      <c r="Q36" s="204"/>
      <c r="R36" s="204"/>
      <c r="S36" s="204"/>
      <c r="T36" s="204"/>
      <c r="U36" s="204"/>
      <c r="V36" s="204"/>
      <c r="W36" s="204"/>
      <c r="X36" s="204"/>
      <c r="Y36" s="204"/>
      <c r="Z36" s="204"/>
      <c r="AA36" s="204"/>
      <c r="AB36" s="204"/>
      <c r="AC36" s="204"/>
      <c r="AD36" s="204"/>
      <c r="AE36" s="204"/>
      <c r="AF36" s="148" t="s">
        <v>926</v>
      </c>
      <c r="AG36" s="149" t="s">
        <v>927</v>
      </c>
    </row>
    <row r="37" spans="1:33" ht="24.95" customHeight="1" x14ac:dyDescent="0.2">
      <c r="A37" s="141" t="s">
        <v>996</v>
      </c>
      <c r="B37" s="142" t="s">
        <v>997</v>
      </c>
      <c r="C37" s="143" t="s">
        <v>937</v>
      </c>
      <c r="D37" s="143" t="s">
        <v>937</v>
      </c>
      <c r="E37" s="144" t="s">
        <v>925</v>
      </c>
      <c r="F37" s="145">
        <v>3640</v>
      </c>
      <c r="G37" s="146">
        <v>3760</v>
      </c>
      <c r="H37" s="146">
        <v>67</v>
      </c>
      <c r="I37" s="201"/>
      <c r="J37" s="147">
        <v>6234</v>
      </c>
      <c r="K37" s="146">
        <v>5077</v>
      </c>
      <c r="L37" s="146">
        <v>72</v>
      </c>
      <c r="M37" s="146">
        <v>4106</v>
      </c>
      <c r="N37" s="146">
        <v>5</v>
      </c>
      <c r="O37" s="146">
        <v>4509</v>
      </c>
      <c r="P37" s="204"/>
      <c r="Q37" s="204"/>
      <c r="R37" s="204"/>
      <c r="S37" s="204"/>
      <c r="T37" s="204"/>
      <c r="U37" s="204"/>
      <c r="V37" s="204"/>
      <c r="W37" s="204"/>
      <c r="X37" s="204"/>
      <c r="Y37" s="204"/>
      <c r="Z37" s="204"/>
      <c r="AA37" s="204"/>
      <c r="AB37" s="204"/>
      <c r="AC37" s="204"/>
      <c r="AD37" s="204"/>
      <c r="AE37" s="204"/>
      <c r="AF37" s="148" t="s">
        <v>926</v>
      </c>
      <c r="AG37" s="148" t="s">
        <v>960</v>
      </c>
    </row>
    <row r="38" spans="1:33" ht="24.95" customHeight="1" x14ac:dyDescent="0.2">
      <c r="A38" s="141" t="s">
        <v>998</v>
      </c>
      <c r="B38" s="142" t="s">
        <v>999</v>
      </c>
      <c r="C38" s="143" t="s">
        <v>937</v>
      </c>
      <c r="D38" s="143" t="s">
        <v>937</v>
      </c>
      <c r="E38" s="144" t="s">
        <v>978</v>
      </c>
      <c r="F38" s="145">
        <v>3936</v>
      </c>
      <c r="G38" s="146">
        <f>1641+2066</f>
        <v>3707</v>
      </c>
      <c r="H38" s="146">
        <v>43</v>
      </c>
      <c r="I38" s="201"/>
      <c r="J38" s="147">
        <v>3925</v>
      </c>
      <c r="K38" s="146">
        <v>3707</v>
      </c>
      <c r="L38" s="146">
        <v>29</v>
      </c>
      <c r="M38" s="146">
        <v>1968</v>
      </c>
      <c r="N38" s="146">
        <v>5</v>
      </c>
      <c r="O38" s="146">
        <v>1770</v>
      </c>
      <c r="P38" s="204"/>
      <c r="Q38" s="204"/>
      <c r="R38" s="204"/>
      <c r="S38" s="204"/>
      <c r="T38" s="204"/>
      <c r="U38" s="204"/>
      <c r="V38" s="204"/>
      <c r="W38" s="204"/>
      <c r="X38" s="204"/>
      <c r="Y38" s="204"/>
      <c r="Z38" s="204"/>
      <c r="AA38" s="204"/>
      <c r="AB38" s="204"/>
      <c r="AC38" s="204"/>
      <c r="AD38" s="204"/>
      <c r="AE38" s="204"/>
      <c r="AF38" s="148" t="s">
        <v>926</v>
      </c>
      <c r="AG38" s="148" t="s">
        <v>960</v>
      </c>
    </row>
    <row r="39" spans="1:33" ht="24.95" customHeight="1" x14ac:dyDescent="0.2">
      <c r="A39" s="141" t="s">
        <v>1000</v>
      </c>
      <c r="B39" s="142" t="s">
        <v>1001</v>
      </c>
      <c r="C39" s="143" t="s">
        <v>947</v>
      </c>
      <c r="D39" s="143" t="s">
        <v>947</v>
      </c>
      <c r="E39" s="144" t="s">
        <v>948</v>
      </c>
      <c r="F39" s="145">
        <v>2585</v>
      </c>
      <c r="G39" s="146">
        <v>2585</v>
      </c>
      <c r="H39" s="146">
        <v>95</v>
      </c>
      <c r="I39" s="201"/>
      <c r="J39" s="147">
        <v>2560</v>
      </c>
      <c r="K39" s="146">
        <v>2250</v>
      </c>
      <c r="L39" s="146">
        <v>98</v>
      </c>
      <c r="M39" s="146">
        <v>4723</v>
      </c>
      <c r="N39" s="146">
        <v>0</v>
      </c>
      <c r="O39" s="146">
        <v>4687</v>
      </c>
      <c r="P39" s="204"/>
      <c r="Q39" s="204"/>
      <c r="R39" s="204"/>
      <c r="S39" s="204"/>
      <c r="T39" s="204"/>
      <c r="U39" s="204"/>
      <c r="V39" s="204"/>
      <c r="W39" s="204"/>
      <c r="X39" s="204"/>
      <c r="Y39" s="204"/>
      <c r="Z39" s="204"/>
      <c r="AA39" s="204"/>
      <c r="AB39" s="204"/>
      <c r="AC39" s="204"/>
      <c r="AD39" s="204"/>
      <c r="AE39" s="204"/>
      <c r="AF39" s="148" t="e">
        <v>#N/A</v>
      </c>
      <c r="AG39" s="149" t="s">
        <v>927</v>
      </c>
    </row>
    <row r="40" spans="1:33" ht="24.95" customHeight="1" x14ac:dyDescent="0.2">
      <c r="A40" s="141" t="s">
        <v>1002</v>
      </c>
      <c r="B40" s="142" t="s">
        <v>1003</v>
      </c>
      <c r="C40" s="143" t="s">
        <v>947</v>
      </c>
      <c r="D40" s="143" t="s">
        <v>947</v>
      </c>
      <c r="E40" s="144" t="s">
        <v>948</v>
      </c>
      <c r="F40" s="145">
        <v>1350</v>
      </c>
      <c r="G40" s="146">
        <v>1350</v>
      </c>
      <c r="H40" s="146">
        <v>50</v>
      </c>
      <c r="I40" s="201"/>
      <c r="J40" s="147">
        <v>1350</v>
      </c>
      <c r="K40" s="146">
        <v>1350</v>
      </c>
      <c r="L40" s="146">
        <v>45</v>
      </c>
      <c r="M40" s="146">
        <v>2520</v>
      </c>
      <c r="N40" s="146">
        <v>0</v>
      </c>
      <c r="O40" s="146">
        <v>2535</v>
      </c>
      <c r="P40" s="204"/>
      <c r="Q40" s="204"/>
      <c r="R40" s="204"/>
      <c r="S40" s="204"/>
      <c r="T40" s="204"/>
      <c r="U40" s="204"/>
      <c r="V40" s="204"/>
      <c r="W40" s="204"/>
      <c r="X40" s="204"/>
      <c r="Y40" s="204"/>
      <c r="Z40" s="204"/>
      <c r="AA40" s="204"/>
      <c r="AB40" s="204"/>
      <c r="AC40" s="204"/>
      <c r="AD40" s="204"/>
      <c r="AE40" s="204"/>
      <c r="AF40" s="148" t="s">
        <v>926</v>
      </c>
      <c r="AG40" s="149" t="s">
        <v>927</v>
      </c>
    </row>
    <row r="41" spans="1:33" ht="24.95" customHeight="1" x14ac:dyDescent="0.2">
      <c r="A41" s="141" t="s">
        <v>1004</v>
      </c>
      <c r="B41" s="142" t="s">
        <v>1005</v>
      </c>
      <c r="C41" s="143" t="s">
        <v>947</v>
      </c>
      <c r="D41" s="143" t="s">
        <v>947</v>
      </c>
      <c r="E41" s="144" t="s">
        <v>948</v>
      </c>
      <c r="F41" s="145">
        <v>1840</v>
      </c>
      <c r="G41" s="146">
        <v>1840</v>
      </c>
      <c r="H41" s="146">
        <v>58</v>
      </c>
      <c r="I41" s="201"/>
      <c r="J41" s="147">
        <v>1840</v>
      </c>
      <c r="K41" s="146">
        <v>1840</v>
      </c>
      <c r="L41" s="146">
        <v>48</v>
      </c>
      <c r="M41" s="146">
        <v>2210</v>
      </c>
      <c r="N41" s="146">
        <v>0</v>
      </c>
      <c r="O41" s="146">
        <v>2201</v>
      </c>
      <c r="P41" s="204"/>
      <c r="Q41" s="204"/>
      <c r="R41" s="204"/>
      <c r="S41" s="204"/>
      <c r="T41" s="204"/>
      <c r="U41" s="204"/>
      <c r="V41" s="204"/>
      <c r="W41" s="204"/>
      <c r="X41" s="204"/>
      <c r="Y41" s="204"/>
      <c r="Z41" s="204"/>
      <c r="AA41" s="204"/>
      <c r="AB41" s="204"/>
      <c r="AC41" s="204"/>
      <c r="AD41" s="204"/>
      <c r="AE41" s="204"/>
      <c r="AF41" s="148" t="s">
        <v>926</v>
      </c>
      <c r="AG41" s="149" t="s">
        <v>927</v>
      </c>
    </row>
    <row r="42" spans="1:33" ht="24.95" customHeight="1" x14ac:dyDescent="0.2">
      <c r="A42" s="141" t="s">
        <v>1006</v>
      </c>
      <c r="B42" s="142" t="s">
        <v>1007</v>
      </c>
      <c r="C42" s="143" t="s">
        <v>947</v>
      </c>
      <c r="D42" s="143" t="s">
        <v>947</v>
      </c>
      <c r="E42" s="144" t="s">
        <v>948</v>
      </c>
      <c r="F42" s="145">
        <v>1900</v>
      </c>
      <c r="G42" s="146">
        <v>1900</v>
      </c>
      <c r="H42" s="146">
        <v>63</v>
      </c>
      <c r="I42" s="201"/>
      <c r="J42" s="147">
        <v>2025</v>
      </c>
      <c r="K42" s="146">
        <v>3560</v>
      </c>
      <c r="L42" s="146">
        <v>63</v>
      </c>
      <c r="M42" s="146">
        <v>3015</v>
      </c>
      <c r="N42" s="146">
        <v>0</v>
      </c>
      <c r="O42" s="146">
        <v>3026</v>
      </c>
      <c r="P42" s="204"/>
      <c r="Q42" s="204"/>
      <c r="R42" s="204"/>
      <c r="S42" s="204"/>
      <c r="T42" s="204"/>
      <c r="U42" s="204"/>
      <c r="V42" s="204"/>
      <c r="W42" s="204"/>
      <c r="X42" s="204"/>
      <c r="Y42" s="204"/>
      <c r="Z42" s="204"/>
      <c r="AA42" s="204"/>
      <c r="AB42" s="204"/>
      <c r="AC42" s="204"/>
      <c r="AD42" s="204"/>
      <c r="AE42" s="204"/>
      <c r="AF42" s="148" t="s">
        <v>926</v>
      </c>
      <c r="AG42" s="149" t="s">
        <v>927</v>
      </c>
    </row>
    <row r="43" spans="1:33" ht="24.95" customHeight="1" x14ac:dyDescent="0.2">
      <c r="A43" s="141" t="s">
        <v>1008</v>
      </c>
      <c r="B43" s="142" t="s">
        <v>1009</v>
      </c>
      <c r="C43" s="143" t="s">
        <v>947</v>
      </c>
      <c r="D43" s="143" t="s">
        <v>947</v>
      </c>
      <c r="E43" s="144" t="s">
        <v>948</v>
      </c>
      <c r="F43" s="145">
        <v>400</v>
      </c>
      <c r="G43" s="146">
        <v>400</v>
      </c>
      <c r="H43" s="146">
        <v>0</v>
      </c>
      <c r="I43" s="201"/>
      <c r="J43" s="147">
        <v>414</v>
      </c>
      <c r="K43" s="146">
        <v>410</v>
      </c>
      <c r="L43" s="146">
        <v>9</v>
      </c>
      <c r="M43" s="146">
        <v>702</v>
      </c>
      <c r="N43" s="146">
        <v>0</v>
      </c>
      <c r="O43" s="146">
        <v>727</v>
      </c>
      <c r="P43" s="204"/>
      <c r="Q43" s="204"/>
      <c r="R43" s="204"/>
      <c r="S43" s="204"/>
      <c r="T43" s="204"/>
      <c r="U43" s="204"/>
      <c r="V43" s="204"/>
      <c r="W43" s="204"/>
      <c r="X43" s="204"/>
      <c r="Y43" s="204"/>
      <c r="Z43" s="204"/>
      <c r="AA43" s="204"/>
      <c r="AB43" s="204"/>
      <c r="AC43" s="204"/>
      <c r="AD43" s="204"/>
      <c r="AE43" s="204"/>
      <c r="AF43" s="148" t="e">
        <v>#N/A</v>
      </c>
      <c r="AG43" s="149" t="s">
        <v>927</v>
      </c>
    </row>
    <row r="44" spans="1:33" ht="24.95" customHeight="1" x14ac:dyDescent="0.2">
      <c r="A44" s="141" t="s">
        <v>1010</v>
      </c>
      <c r="B44" s="142" t="s">
        <v>1011</v>
      </c>
      <c r="C44" s="143" t="s">
        <v>947</v>
      </c>
      <c r="D44" s="143" t="s">
        <v>947</v>
      </c>
      <c r="E44" s="144" t="s">
        <v>951</v>
      </c>
      <c r="F44" s="145">
        <v>5000</v>
      </c>
      <c r="G44" s="146">
        <v>5000</v>
      </c>
      <c r="H44" s="146">
        <v>107</v>
      </c>
      <c r="I44" s="201"/>
      <c r="J44" s="147">
        <v>5172</v>
      </c>
      <c r="K44" s="146">
        <v>5150</v>
      </c>
      <c r="L44" s="146">
        <v>107</v>
      </c>
      <c r="M44" s="146">
        <v>5803</v>
      </c>
      <c r="N44" s="146">
        <v>0</v>
      </c>
      <c r="O44" s="146">
        <v>5715</v>
      </c>
      <c r="P44" s="204"/>
      <c r="Q44" s="204"/>
      <c r="R44" s="204"/>
      <c r="S44" s="204"/>
      <c r="T44" s="204"/>
      <c r="U44" s="204"/>
      <c r="V44" s="204"/>
      <c r="W44" s="204"/>
      <c r="X44" s="204"/>
      <c r="Y44" s="204"/>
      <c r="Z44" s="204"/>
      <c r="AA44" s="204"/>
      <c r="AB44" s="204"/>
      <c r="AC44" s="204"/>
      <c r="AD44" s="204"/>
      <c r="AE44" s="204"/>
      <c r="AF44" s="148" t="s">
        <v>926</v>
      </c>
      <c r="AG44" s="149" t="s">
        <v>927</v>
      </c>
    </row>
    <row r="45" spans="1:33" ht="24.95" customHeight="1" x14ac:dyDescent="0.2">
      <c r="A45" s="141" t="s">
        <v>1012</v>
      </c>
      <c r="B45" s="142" t="s">
        <v>1013</v>
      </c>
      <c r="C45" s="143" t="s">
        <v>987</v>
      </c>
      <c r="D45" s="143" t="s">
        <v>987</v>
      </c>
      <c r="E45" s="144" t="s">
        <v>925</v>
      </c>
      <c r="F45" s="145">
        <v>1400</v>
      </c>
      <c r="G45" s="146">
        <v>1400</v>
      </c>
      <c r="H45" s="146">
        <v>0</v>
      </c>
      <c r="I45" s="201"/>
      <c r="J45" s="147">
        <v>1400</v>
      </c>
      <c r="K45" s="146">
        <v>1400</v>
      </c>
      <c r="L45" s="146">
        <v>15</v>
      </c>
      <c r="M45" s="146">
        <v>840</v>
      </c>
      <c r="N45" s="146">
        <v>0</v>
      </c>
      <c r="O45" s="146">
        <v>865</v>
      </c>
      <c r="P45" s="204"/>
      <c r="Q45" s="204"/>
      <c r="R45" s="204"/>
      <c r="S45" s="204"/>
      <c r="T45" s="204"/>
      <c r="U45" s="204"/>
      <c r="V45" s="204"/>
      <c r="W45" s="204"/>
      <c r="X45" s="204"/>
      <c r="Y45" s="204"/>
      <c r="Z45" s="204"/>
      <c r="AA45" s="204"/>
      <c r="AB45" s="204"/>
      <c r="AC45" s="204"/>
      <c r="AD45" s="204"/>
      <c r="AE45" s="204"/>
      <c r="AF45" s="148" t="e">
        <v>#N/A</v>
      </c>
      <c r="AG45" s="149" t="s">
        <v>927</v>
      </c>
    </row>
    <row r="46" spans="1:33" ht="24.95" customHeight="1" x14ac:dyDescent="0.2">
      <c r="A46" s="141" t="s">
        <v>1014</v>
      </c>
      <c r="B46" s="142" t="s">
        <v>1015</v>
      </c>
      <c r="C46" s="143" t="s">
        <v>937</v>
      </c>
      <c r="D46" s="143" t="s">
        <v>937</v>
      </c>
      <c r="E46" s="144" t="s">
        <v>925</v>
      </c>
      <c r="F46" s="145">
        <v>4165</v>
      </c>
      <c r="G46" s="146">
        <v>4165</v>
      </c>
      <c r="H46" s="146">
        <v>55</v>
      </c>
      <c r="I46" s="201"/>
      <c r="J46" s="147">
        <v>4194</v>
      </c>
      <c r="K46" s="146">
        <v>4180</v>
      </c>
      <c r="L46" s="146">
        <v>52</v>
      </c>
      <c r="M46" s="146">
        <v>3380</v>
      </c>
      <c r="N46" s="146">
        <v>1</v>
      </c>
      <c r="O46" s="146">
        <v>3450</v>
      </c>
      <c r="P46" s="204"/>
      <c r="Q46" s="204"/>
      <c r="R46" s="204"/>
      <c r="S46" s="204"/>
      <c r="T46" s="204"/>
      <c r="U46" s="204"/>
      <c r="V46" s="204"/>
      <c r="W46" s="204"/>
      <c r="X46" s="204"/>
      <c r="Y46" s="204"/>
      <c r="Z46" s="204"/>
      <c r="AA46" s="204"/>
      <c r="AB46" s="204"/>
      <c r="AC46" s="204"/>
      <c r="AD46" s="204"/>
      <c r="AE46" s="204"/>
      <c r="AF46" s="148" t="e">
        <v>#N/A</v>
      </c>
      <c r="AG46" s="149" t="s">
        <v>927</v>
      </c>
    </row>
    <row r="47" spans="1:33" ht="24.95" customHeight="1" x14ac:dyDescent="0.2">
      <c r="A47" s="141" t="s">
        <v>1016</v>
      </c>
      <c r="B47" s="142" t="s">
        <v>1017</v>
      </c>
      <c r="C47" s="143" t="s">
        <v>930</v>
      </c>
      <c r="D47" s="143" t="s">
        <v>930</v>
      </c>
      <c r="E47" s="144" t="s">
        <v>925</v>
      </c>
      <c r="F47" s="145">
        <v>350</v>
      </c>
      <c r="G47" s="146">
        <v>350</v>
      </c>
      <c r="H47" s="146">
        <v>0</v>
      </c>
      <c r="I47" s="201"/>
      <c r="J47" s="147">
        <v>235</v>
      </c>
      <c r="K47" s="146">
        <v>225</v>
      </c>
      <c r="L47" s="146">
        <v>6</v>
      </c>
      <c r="M47" s="146">
        <v>210</v>
      </c>
      <c r="N47" s="146">
        <v>0</v>
      </c>
      <c r="O47" s="146">
        <v>210</v>
      </c>
      <c r="P47" s="204"/>
      <c r="Q47" s="204"/>
      <c r="R47" s="204"/>
      <c r="S47" s="204"/>
      <c r="T47" s="204"/>
      <c r="U47" s="204"/>
      <c r="V47" s="204"/>
      <c r="W47" s="204"/>
      <c r="X47" s="204"/>
      <c r="Y47" s="204"/>
      <c r="Z47" s="204"/>
      <c r="AA47" s="204"/>
      <c r="AB47" s="204"/>
      <c r="AC47" s="204"/>
      <c r="AD47" s="204"/>
      <c r="AE47" s="204"/>
      <c r="AF47" s="148" t="e">
        <v>#N/A</v>
      </c>
      <c r="AG47" s="149" t="s">
        <v>927</v>
      </c>
    </row>
    <row r="48" spans="1:33" ht="24.95" customHeight="1" x14ac:dyDescent="0.2">
      <c r="A48" s="141" t="s">
        <v>1018</v>
      </c>
      <c r="B48" s="142" t="s">
        <v>1019</v>
      </c>
      <c r="C48" s="143" t="s">
        <v>987</v>
      </c>
      <c r="D48" s="143" t="s">
        <v>987</v>
      </c>
      <c r="E48" s="144" t="s">
        <v>1020</v>
      </c>
      <c r="F48" s="145">
        <v>400</v>
      </c>
      <c r="G48" s="146">
        <v>400</v>
      </c>
      <c r="H48" s="146">
        <v>0</v>
      </c>
      <c r="I48" s="201"/>
      <c r="J48" s="147">
        <v>376</v>
      </c>
      <c r="K48" s="146">
        <v>400</v>
      </c>
      <c r="L48" s="146">
        <v>0</v>
      </c>
      <c r="M48" s="146">
        <v>0</v>
      </c>
      <c r="N48" s="146">
        <v>0</v>
      </c>
      <c r="O48" s="146">
        <v>0</v>
      </c>
      <c r="P48" s="204"/>
      <c r="Q48" s="204"/>
      <c r="R48" s="204"/>
      <c r="S48" s="204"/>
      <c r="T48" s="204"/>
      <c r="U48" s="204"/>
      <c r="V48" s="204"/>
      <c r="W48" s="204"/>
      <c r="X48" s="204"/>
      <c r="Y48" s="204"/>
      <c r="Z48" s="204"/>
      <c r="AA48" s="204"/>
      <c r="AB48" s="204"/>
      <c r="AC48" s="204"/>
      <c r="AD48" s="204"/>
      <c r="AE48" s="204"/>
      <c r="AF48" s="148" t="s">
        <v>926</v>
      </c>
      <c r="AG48" s="149" t="s">
        <v>927</v>
      </c>
    </row>
    <row r="49" spans="1:33" ht="24.95" customHeight="1" x14ac:dyDescent="0.2">
      <c r="A49" s="141" t="s">
        <v>1021</v>
      </c>
      <c r="B49" s="142" t="s">
        <v>1022</v>
      </c>
      <c r="C49" s="143" t="s">
        <v>930</v>
      </c>
      <c r="D49" s="143" t="s">
        <v>930</v>
      </c>
      <c r="E49" s="144" t="s">
        <v>925</v>
      </c>
      <c r="F49" s="145">
        <v>13500</v>
      </c>
      <c r="G49" s="146">
        <v>21600</v>
      </c>
      <c r="H49" s="146">
        <v>7</v>
      </c>
      <c r="I49" s="201"/>
      <c r="J49" s="147">
        <v>11986</v>
      </c>
      <c r="K49" s="146">
        <v>20000</v>
      </c>
      <c r="L49" s="146">
        <v>7</v>
      </c>
      <c r="M49" s="146">
        <v>2821</v>
      </c>
      <c r="N49" s="146">
        <v>0</v>
      </c>
      <c r="O49" s="146">
        <v>4363</v>
      </c>
      <c r="P49" s="204"/>
      <c r="Q49" s="204"/>
      <c r="R49" s="204"/>
      <c r="S49" s="204"/>
      <c r="T49" s="204"/>
      <c r="U49" s="204"/>
      <c r="V49" s="204"/>
      <c r="W49" s="204"/>
      <c r="X49" s="204"/>
      <c r="Y49" s="204"/>
      <c r="Z49" s="204"/>
      <c r="AA49" s="204"/>
      <c r="AB49" s="204"/>
      <c r="AC49" s="204"/>
      <c r="AD49" s="204"/>
      <c r="AE49" s="204"/>
      <c r="AF49" s="148" t="s">
        <v>926</v>
      </c>
      <c r="AG49" s="149" t="s">
        <v>927</v>
      </c>
    </row>
    <row r="50" spans="1:33" ht="24.95" customHeight="1" x14ac:dyDescent="0.2">
      <c r="A50" s="141" t="s">
        <v>1023</v>
      </c>
      <c r="B50" s="142" t="s">
        <v>1024</v>
      </c>
      <c r="C50" s="143" t="s">
        <v>930</v>
      </c>
      <c r="D50" s="143" t="s">
        <v>930</v>
      </c>
      <c r="E50" s="144" t="s">
        <v>925</v>
      </c>
      <c r="F50" s="145">
        <v>5400</v>
      </c>
      <c r="G50" s="146">
        <v>21500</v>
      </c>
      <c r="H50" s="146">
        <v>6</v>
      </c>
      <c r="I50" s="201"/>
      <c r="J50" s="147">
        <v>7200</v>
      </c>
      <c r="K50" s="146">
        <v>20300</v>
      </c>
      <c r="L50" s="146">
        <v>5</v>
      </c>
      <c r="M50" s="146">
        <v>1911</v>
      </c>
      <c r="N50" s="146">
        <v>1</v>
      </c>
      <c r="O50" s="146">
        <v>4043</v>
      </c>
      <c r="P50" s="204"/>
      <c r="Q50" s="204"/>
      <c r="R50" s="204"/>
      <c r="S50" s="204"/>
      <c r="T50" s="204"/>
      <c r="U50" s="204"/>
      <c r="V50" s="204"/>
      <c r="W50" s="204"/>
      <c r="X50" s="204"/>
      <c r="Y50" s="204"/>
      <c r="Z50" s="204"/>
      <c r="AA50" s="204"/>
      <c r="AB50" s="204"/>
      <c r="AC50" s="204"/>
      <c r="AD50" s="204"/>
      <c r="AE50" s="204"/>
      <c r="AF50" s="148" t="s">
        <v>926</v>
      </c>
      <c r="AG50" s="149" t="s">
        <v>927</v>
      </c>
    </row>
    <row r="51" spans="1:33" ht="24.95" customHeight="1" x14ac:dyDescent="0.2">
      <c r="A51" s="141" t="s">
        <v>1025</v>
      </c>
      <c r="B51" s="142" t="s">
        <v>1026</v>
      </c>
      <c r="C51" s="143" t="s">
        <v>987</v>
      </c>
      <c r="D51" s="143" t="s">
        <v>987</v>
      </c>
      <c r="E51" s="144" t="s">
        <v>1020</v>
      </c>
      <c r="F51" s="145">
        <v>12800</v>
      </c>
      <c r="G51" s="146">
        <v>12800</v>
      </c>
      <c r="H51" s="146">
        <v>205</v>
      </c>
      <c r="I51" s="201"/>
      <c r="J51" s="147">
        <v>10955</v>
      </c>
      <c r="K51" s="146">
        <v>12430</v>
      </c>
      <c r="L51" s="146">
        <v>155</v>
      </c>
      <c r="M51" s="146">
        <v>11625</v>
      </c>
      <c r="N51" s="146">
        <v>0</v>
      </c>
      <c r="O51" s="146">
        <v>11878</v>
      </c>
      <c r="P51" s="204"/>
      <c r="Q51" s="204"/>
      <c r="R51" s="204"/>
      <c r="S51" s="204"/>
      <c r="T51" s="204"/>
      <c r="U51" s="204"/>
      <c r="V51" s="204"/>
      <c r="W51" s="204"/>
      <c r="X51" s="204"/>
      <c r="Y51" s="204"/>
      <c r="Z51" s="204"/>
      <c r="AA51" s="204"/>
      <c r="AB51" s="204"/>
      <c r="AC51" s="204"/>
      <c r="AD51" s="204"/>
      <c r="AE51" s="204"/>
      <c r="AF51" s="148" t="s">
        <v>926</v>
      </c>
      <c r="AG51" s="149" t="s">
        <v>927</v>
      </c>
    </row>
    <row r="52" spans="1:33" ht="24.95" customHeight="1" x14ac:dyDescent="0.2">
      <c r="A52" s="141" t="s">
        <v>1027</v>
      </c>
      <c r="B52" s="142" t="s">
        <v>1028</v>
      </c>
      <c r="C52" s="143" t="s">
        <v>987</v>
      </c>
      <c r="D52" s="143" t="s">
        <v>987</v>
      </c>
      <c r="E52" s="144" t="s">
        <v>925</v>
      </c>
      <c r="F52" s="145">
        <f>3541+2558</f>
        <v>6099</v>
      </c>
      <c r="G52" s="146">
        <v>5469</v>
      </c>
      <c r="H52" s="146">
        <v>73</v>
      </c>
      <c r="I52" s="201"/>
      <c r="J52" s="147">
        <v>7624</v>
      </c>
      <c r="K52" s="146">
        <v>6641</v>
      </c>
      <c r="L52" s="146">
        <v>63</v>
      </c>
      <c r="M52" s="146">
        <v>3483</v>
      </c>
      <c r="N52" s="146">
        <v>2</v>
      </c>
      <c r="O52" s="146">
        <v>2959</v>
      </c>
      <c r="P52" s="204"/>
      <c r="Q52" s="204"/>
      <c r="R52" s="204"/>
      <c r="S52" s="204"/>
      <c r="T52" s="204"/>
      <c r="U52" s="204"/>
      <c r="V52" s="204"/>
      <c r="W52" s="204"/>
      <c r="X52" s="204"/>
      <c r="Y52" s="204"/>
      <c r="Z52" s="204"/>
      <c r="AA52" s="204"/>
      <c r="AB52" s="204"/>
      <c r="AC52" s="204"/>
      <c r="AD52" s="204"/>
      <c r="AE52" s="204"/>
      <c r="AF52" s="148" t="s">
        <v>926</v>
      </c>
      <c r="AG52" s="149" t="s">
        <v>927</v>
      </c>
    </row>
    <row r="53" spans="1:33" ht="24.95" customHeight="1" x14ac:dyDescent="0.2">
      <c r="A53" s="141" t="s">
        <v>1029</v>
      </c>
      <c r="B53" s="142" t="s">
        <v>1030</v>
      </c>
      <c r="C53" s="143" t="s">
        <v>930</v>
      </c>
      <c r="D53" s="143" t="s">
        <v>930</v>
      </c>
      <c r="E53" s="144" t="s">
        <v>925</v>
      </c>
      <c r="F53" s="145">
        <f>3835+2080</f>
        <v>5915</v>
      </c>
      <c r="G53" s="146">
        <v>5990</v>
      </c>
      <c r="H53" s="146">
        <v>61</v>
      </c>
      <c r="I53" s="201"/>
      <c r="J53" s="147">
        <v>5989</v>
      </c>
      <c r="K53" s="146">
        <v>6326</v>
      </c>
      <c r="L53" s="146">
        <v>54</v>
      </c>
      <c r="M53" s="146">
        <v>5662</v>
      </c>
      <c r="N53" s="146">
        <v>0</v>
      </c>
      <c r="O53" s="146">
        <v>5112</v>
      </c>
      <c r="P53" s="204"/>
      <c r="Q53" s="204"/>
      <c r="R53" s="204"/>
      <c r="S53" s="204"/>
      <c r="T53" s="204"/>
      <c r="U53" s="204"/>
      <c r="V53" s="204"/>
      <c r="W53" s="204"/>
      <c r="X53" s="204"/>
      <c r="Y53" s="204"/>
      <c r="Z53" s="204"/>
      <c r="AA53" s="204"/>
      <c r="AB53" s="204"/>
      <c r="AC53" s="204"/>
      <c r="AD53" s="204"/>
      <c r="AE53" s="204"/>
      <c r="AF53" s="148" t="s">
        <v>926</v>
      </c>
      <c r="AG53" s="149" t="s">
        <v>927</v>
      </c>
    </row>
    <row r="54" spans="1:33" ht="24.95" customHeight="1" x14ac:dyDescent="0.2">
      <c r="A54" s="141" t="s">
        <v>1031</v>
      </c>
      <c r="B54" s="142" t="s">
        <v>1032</v>
      </c>
      <c r="C54" s="143" t="s">
        <v>947</v>
      </c>
      <c r="D54" s="143" t="s">
        <v>947</v>
      </c>
      <c r="E54" s="144" t="s">
        <v>951</v>
      </c>
      <c r="F54" s="145">
        <v>3277</v>
      </c>
      <c r="G54" s="146">
        <f>268+2877</f>
        <v>3145</v>
      </c>
      <c r="H54" s="146">
        <v>75</v>
      </c>
      <c r="I54" s="201"/>
      <c r="J54" s="147">
        <v>3582</v>
      </c>
      <c r="K54" s="146">
        <v>3145</v>
      </c>
      <c r="L54" s="146">
        <v>79</v>
      </c>
      <c r="M54" s="146">
        <v>5783</v>
      </c>
      <c r="N54" s="146">
        <v>0</v>
      </c>
      <c r="O54" s="146">
        <v>5783</v>
      </c>
      <c r="P54" s="204"/>
      <c r="Q54" s="204"/>
      <c r="R54" s="204"/>
      <c r="S54" s="204"/>
      <c r="T54" s="204"/>
      <c r="U54" s="204"/>
      <c r="V54" s="204"/>
      <c r="W54" s="204"/>
      <c r="X54" s="204"/>
      <c r="Y54" s="204"/>
      <c r="Z54" s="204"/>
      <c r="AA54" s="204"/>
      <c r="AB54" s="204"/>
      <c r="AC54" s="204"/>
      <c r="AD54" s="204"/>
      <c r="AE54" s="204"/>
      <c r="AF54" s="148" t="s">
        <v>926</v>
      </c>
      <c r="AG54" s="149" t="s">
        <v>927</v>
      </c>
    </row>
    <row r="55" spans="1:33" ht="24.95" customHeight="1" x14ac:dyDescent="0.2">
      <c r="A55" s="141" t="s">
        <v>1033</v>
      </c>
      <c r="B55" s="142" t="s">
        <v>1034</v>
      </c>
      <c r="C55" s="143" t="s">
        <v>947</v>
      </c>
      <c r="D55" s="143" t="s">
        <v>947</v>
      </c>
      <c r="E55" s="144" t="s">
        <v>951</v>
      </c>
      <c r="F55" s="145">
        <v>3244</v>
      </c>
      <c r="G55" s="146">
        <v>3241</v>
      </c>
      <c r="H55" s="146">
        <v>91</v>
      </c>
      <c r="I55" s="201"/>
      <c r="J55" s="147">
        <v>3264</v>
      </c>
      <c r="K55" s="146">
        <v>3241</v>
      </c>
      <c r="L55" s="146">
        <v>89</v>
      </c>
      <c r="M55" s="146">
        <v>5204</v>
      </c>
      <c r="N55" s="146">
        <v>0</v>
      </c>
      <c r="O55" s="146">
        <v>5172</v>
      </c>
      <c r="P55" s="204"/>
      <c r="Q55" s="204"/>
      <c r="R55" s="204"/>
      <c r="S55" s="204"/>
      <c r="T55" s="204"/>
      <c r="U55" s="204"/>
      <c r="V55" s="204"/>
      <c r="W55" s="204"/>
      <c r="X55" s="204"/>
      <c r="Y55" s="204"/>
      <c r="Z55" s="204"/>
      <c r="AA55" s="204"/>
      <c r="AB55" s="204"/>
      <c r="AC55" s="204"/>
      <c r="AD55" s="204"/>
      <c r="AE55" s="204"/>
      <c r="AF55" s="148" t="s">
        <v>926</v>
      </c>
      <c r="AG55" s="149" t="s">
        <v>927</v>
      </c>
    </row>
    <row r="56" spans="1:33" ht="24.95" customHeight="1" x14ac:dyDescent="0.2">
      <c r="A56" s="141" t="s">
        <v>1035</v>
      </c>
      <c r="B56" s="142" t="s">
        <v>1036</v>
      </c>
      <c r="C56" s="143" t="s">
        <v>947</v>
      </c>
      <c r="D56" s="143" t="s">
        <v>947</v>
      </c>
      <c r="E56" s="144" t="s">
        <v>951</v>
      </c>
      <c r="F56" s="145">
        <v>3895</v>
      </c>
      <c r="G56" s="146">
        <f>15+127+1425+2228</f>
        <v>3795</v>
      </c>
      <c r="H56" s="146">
        <v>68</v>
      </c>
      <c r="I56" s="201"/>
      <c r="J56" s="147">
        <v>3961</v>
      </c>
      <c r="K56" s="146">
        <v>3795</v>
      </c>
      <c r="L56" s="146">
        <v>64</v>
      </c>
      <c r="M56" s="146">
        <v>3997</v>
      </c>
      <c r="N56" s="146">
        <v>0</v>
      </c>
      <c r="O56" s="146">
        <v>3933</v>
      </c>
      <c r="P56" s="204"/>
      <c r="Q56" s="204"/>
      <c r="R56" s="204"/>
      <c r="S56" s="204"/>
      <c r="T56" s="204"/>
      <c r="U56" s="204"/>
      <c r="V56" s="204"/>
      <c r="W56" s="204"/>
      <c r="X56" s="204"/>
      <c r="Y56" s="204"/>
      <c r="Z56" s="204"/>
      <c r="AA56" s="204"/>
      <c r="AB56" s="204"/>
      <c r="AC56" s="204"/>
      <c r="AD56" s="204"/>
      <c r="AE56" s="204"/>
      <c r="AF56" s="148" t="s">
        <v>926</v>
      </c>
      <c r="AG56" s="149" t="s">
        <v>927</v>
      </c>
    </row>
    <row r="57" spans="1:33" ht="24.95" customHeight="1" x14ac:dyDescent="0.2">
      <c r="A57" s="141" t="s">
        <v>1037</v>
      </c>
      <c r="B57" s="157" t="s">
        <v>1038</v>
      </c>
      <c r="C57" s="143" t="s">
        <v>930</v>
      </c>
      <c r="D57" s="143" t="s">
        <v>930</v>
      </c>
      <c r="E57" s="144" t="s">
        <v>975</v>
      </c>
      <c r="F57" s="145">
        <f>680+5600</f>
        <v>6280</v>
      </c>
      <c r="G57" s="146">
        <v>4635</v>
      </c>
      <c r="H57" s="146">
        <v>59</v>
      </c>
      <c r="I57" s="201"/>
      <c r="J57" s="147">
        <v>5764</v>
      </c>
      <c r="K57" s="146">
        <v>5565</v>
      </c>
      <c r="L57" s="146">
        <v>48</v>
      </c>
      <c r="M57" s="146">
        <v>2928</v>
      </c>
      <c r="N57" s="146">
        <v>2</v>
      </c>
      <c r="O57" s="146">
        <v>3830</v>
      </c>
      <c r="P57" s="204"/>
      <c r="Q57" s="204"/>
      <c r="R57" s="204"/>
      <c r="S57" s="204"/>
      <c r="T57" s="204"/>
      <c r="U57" s="204"/>
      <c r="V57" s="204"/>
      <c r="W57" s="204"/>
      <c r="X57" s="204"/>
      <c r="Y57" s="204"/>
      <c r="Z57" s="204"/>
      <c r="AA57" s="204"/>
      <c r="AB57" s="204"/>
      <c r="AC57" s="204"/>
      <c r="AD57" s="204"/>
      <c r="AE57" s="204"/>
      <c r="AF57" s="148" t="s">
        <v>926</v>
      </c>
      <c r="AG57" s="148" t="s">
        <v>960</v>
      </c>
    </row>
    <row r="58" spans="1:33" ht="24.95" customHeight="1" x14ac:dyDescent="0.2">
      <c r="A58" s="141" t="s">
        <v>1039</v>
      </c>
      <c r="B58" s="157" t="s">
        <v>1040</v>
      </c>
      <c r="C58" s="143" t="s">
        <v>930</v>
      </c>
      <c r="D58" s="143" t="s">
        <v>930</v>
      </c>
      <c r="E58" s="144" t="s">
        <v>925</v>
      </c>
      <c r="F58" s="145">
        <v>8660</v>
      </c>
      <c r="G58" s="146">
        <v>8440</v>
      </c>
      <c r="H58" s="146">
        <v>122</v>
      </c>
      <c r="I58" s="201"/>
      <c r="J58" s="147">
        <v>8216</v>
      </c>
      <c r="K58" s="146">
        <v>8129</v>
      </c>
      <c r="L58" s="146">
        <v>94</v>
      </c>
      <c r="M58" s="146">
        <v>3018</v>
      </c>
      <c r="N58" s="146">
        <v>3</v>
      </c>
      <c r="O58" s="146">
        <v>3489</v>
      </c>
      <c r="P58" s="204"/>
      <c r="Q58" s="204"/>
      <c r="R58" s="204"/>
      <c r="S58" s="204"/>
      <c r="T58" s="204"/>
      <c r="U58" s="204"/>
      <c r="V58" s="204"/>
      <c r="W58" s="204"/>
      <c r="X58" s="204"/>
      <c r="Y58" s="204"/>
      <c r="Z58" s="204"/>
      <c r="AA58" s="204"/>
      <c r="AB58" s="204"/>
      <c r="AC58" s="204"/>
      <c r="AD58" s="204"/>
      <c r="AE58" s="204"/>
      <c r="AF58" s="148" t="s">
        <v>926</v>
      </c>
      <c r="AG58" s="148" t="s">
        <v>960</v>
      </c>
    </row>
    <row r="59" spans="1:33" ht="24.95" customHeight="1" x14ac:dyDescent="0.2">
      <c r="A59" s="141" t="s">
        <v>1041</v>
      </c>
      <c r="B59" s="157" t="s">
        <v>1042</v>
      </c>
      <c r="C59" s="143" t="s">
        <v>930</v>
      </c>
      <c r="D59" s="143" t="s">
        <v>930</v>
      </c>
      <c r="E59" s="144" t="s">
        <v>975</v>
      </c>
      <c r="F59" s="145">
        <v>6290</v>
      </c>
      <c r="G59" s="146">
        <v>6265</v>
      </c>
      <c r="H59" s="146">
        <v>107</v>
      </c>
      <c r="I59" s="201"/>
      <c r="J59" s="147">
        <v>6000</v>
      </c>
      <c r="K59" s="146">
        <v>6265</v>
      </c>
      <c r="L59" s="146">
        <v>99</v>
      </c>
      <c r="M59" s="146">
        <v>3170</v>
      </c>
      <c r="N59" s="146">
        <v>5</v>
      </c>
      <c r="O59" s="146">
        <v>3904</v>
      </c>
      <c r="P59" s="204"/>
      <c r="Q59" s="204"/>
      <c r="R59" s="204"/>
      <c r="S59" s="204"/>
      <c r="T59" s="204"/>
      <c r="U59" s="204"/>
      <c r="V59" s="204"/>
      <c r="W59" s="204"/>
      <c r="X59" s="204"/>
      <c r="Y59" s="204"/>
      <c r="Z59" s="204"/>
      <c r="AA59" s="204"/>
      <c r="AB59" s="204"/>
      <c r="AC59" s="204"/>
      <c r="AD59" s="204"/>
      <c r="AE59" s="204"/>
      <c r="AF59" s="148" t="s">
        <v>926</v>
      </c>
      <c r="AG59" s="148" t="s">
        <v>960</v>
      </c>
    </row>
    <row r="60" spans="1:33" ht="24.95" customHeight="1" x14ac:dyDescent="0.2">
      <c r="A60" s="141" t="s">
        <v>1043</v>
      </c>
      <c r="B60" s="157" t="s">
        <v>1044</v>
      </c>
      <c r="C60" s="143" t="s">
        <v>930</v>
      </c>
      <c r="D60" s="143" t="s">
        <v>930</v>
      </c>
      <c r="E60" s="144" t="s">
        <v>975</v>
      </c>
      <c r="F60" s="145">
        <v>5505</v>
      </c>
      <c r="G60" s="146">
        <v>6170</v>
      </c>
      <c r="H60" s="146">
        <v>100</v>
      </c>
      <c r="I60" s="201"/>
      <c r="J60" s="147">
        <v>6011</v>
      </c>
      <c r="K60" s="146">
        <v>6562</v>
      </c>
      <c r="L60" s="146">
        <v>97</v>
      </c>
      <c r="M60" s="146">
        <v>3476</v>
      </c>
      <c r="N60" s="146">
        <v>5</v>
      </c>
      <c r="O60" s="146">
        <v>3795</v>
      </c>
      <c r="P60" s="204"/>
      <c r="Q60" s="204"/>
      <c r="R60" s="204"/>
      <c r="S60" s="204"/>
      <c r="T60" s="204"/>
      <c r="U60" s="204"/>
      <c r="V60" s="204"/>
      <c r="W60" s="204"/>
      <c r="X60" s="204"/>
      <c r="Y60" s="204"/>
      <c r="Z60" s="204"/>
      <c r="AA60" s="204"/>
      <c r="AB60" s="204"/>
      <c r="AC60" s="204"/>
      <c r="AD60" s="204"/>
      <c r="AE60" s="204"/>
      <c r="AF60" s="148" t="s">
        <v>926</v>
      </c>
      <c r="AG60" s="148" t="s">
        <v>960</v>
      </c>
    </row>
    <row r="61" spans="1:33" ht="24.95" customHeight="1" x14ac:dyDescent="0.2">
      <c r="A61" s="141" t="s">
        <v>1045</v>
      </c>
      <c r="B61" s="157" t="s">
        <v>1046</v>
      </c>
      <c r="C61" s="143" t="s">
        <v>930</v>
      </c>
      <c r="D61" s="143" t="s">
        <v>930</v>
      </c>
      <c r="E61" s="144" t="s">
        <v>975</v>
      </c>
      <c r="F61" s="145">
        <f>1340+4540</f>
        <v>5880</v>
      </c>
      <c r="G61" s="146">
        <v>5565</v>
      </c>
      <c r="H61" s="146">
        <v>73</v>
      </c>
      <c r="I61" s="201"/>
      <c r="J61" s="147">
        <v>5764</v>
      </c>
      <c r="K61" s="146">
        <v>5565</v>
      </c>
      <c r="L61" s="146">
        <v>38</v>
      </c>
      <c r="M61" s="146">
        <v>1187</v>
      </c>
      <c r="N61" s="146">
        <v>5</v>
      </c>
      <c r="O61" s="146">
        <v>1230</v>
      </c>
      <c r="P61" s="204"/>
      <c r="Q61" s="204"/>
      <c r="R61" s="204"/>
      <c r="S61" s="204"/>
      <c r="T61" s="204"/>
      <c r="U61" s="204"/>
      <c r="V61" s="204"/>
      <c r="W61" s="204"/>
      <c r="X61" s="204"/>
      <c r="Y61" s="204"/>
      <c r="Z61" s="204"/>
      <c r="AA61" s="204"/>
      <c r="AB61" s="204"/>
      <c r="AC61" s="204"/>
      <c r="AD61" s="204"/>
      <c r="AE61" s="204"/>
      <c r="AF61" s="148" t="s">
        <v>926</v>
      </c>
      <c r="AG61" s="148" t="s">
        <v>960</v>
      </c>
    </row>
    <row r="62" spans="1:33" ht="24.95" customHeight="1" x14ac:dyDescent="0.2">
      <c r="A62" s="141" t="s">
        <v>1047</v>
      </c>
      <c r="B62" s="157" t="s">
        <v>1048</v>
      </c>
      <c r="C62" s="143" t="s">
        <v>930</v>
      </c>
      <c r="D62" s="143" t="s">
        <v>930</v>
      </c>
      <c r="E62" s="144" t="s">
        <v>975</v>
      </c>
      <c r="F62" s="145">
        <v>7135</v>
      </c>
      <c r="G62" s="146">
        <v>8240</v>
      </c>
      <c r="H62" s="146">
        <v>84</v>
      </c>
      <c r="I62" s="201"/>
      <c r="J62" s="147">
        <v>5764</v>
      </c>
      <c r="K62" s="146">
        <v>5565</v>
      </c>
      <c r="L62" s="146">
        <v>62</v>
      </c>
      <c r="M62" s="146">
        <v>1187</v>
      </c>
      <c r="N62" s="146">
        <v>0</v>
      </c>
      <c r="O62" s="146">
        <v>1230</v>
      </c>
      <c r="P62" s="204"/>
      <c r="Q62" s="204"/>
      <c r="R62" s="204"/>
      <c r="S62" s="204"/>
      <c r="T62" s="204"/>
      <c r="U62" s="204"/>
      <c r="V62" s="204"/>
      <c r="W62" s="204"/>
      <c r="X62" s="204"/>
      <c r="Y62" s="204"/>
      <c r="Z62" s="204"/>
      <c r="AA62" s="204"/>
      <c r="AB62" s="204"/>
      <c r="AC62" s="204"/>
      <c r="AD62" s="204"/>
      <c r="AE62" s="204"/>
      <c r="AF62" s="148" t="s">
        <v>926</v>
      </c>
      <c r="AG62" s="148" t="s">
        <v>960</v>
      </c>
    </row>
    <row r="63" spans="1:33" ht="24.95" customHeight="1" x14ac:dyDescent="0.2">
      <c r="A63" s="141" t="s">
        <v>1049</v>
      </c>
      <c r="B63" s="157" t="s">
        <v>1050</v>
      </c>
      <c r="C63" s="143" t="s">
        <v>930</v>
      </c>
      <c r="D63" s="143" t="s">
        <v>930</v>
      </c>
      <c r="E63" s="144" t="s">
        <v>925</v>
      </c>
      <c r="F63" s="145">
        <v>6680</v>
      </c>
      <c r="G63" s="146">
        <f>6818-158</f>
        <v>6660</v>
      </c>
      <c r="H63" s="146">
        <v>158</v>
      </c>
      <c r="I63" s="201"/>
      <c r="J63" s="147">
        <v>6615</v>
      </c>
      <c r="K63" s="146">
        <v>7170</v>
      </c>
      <c r="L63" s="146">
        <v>143</v>
      </c>
      <c r="M63" s="146">
        <v>5904</v>
      </c>
      <c r="N63" s="146">
        <v>2</v>
      </c>
      <c r="O63" s="146">
        <v>6081</v>
      </c>
      <c r="P63" s="204"/>
      <c r="Q63" s="204"/>
      <c r="R63" s="204"/>
      <c r="S63" s="204"/>
      <c r="T63" s="204"/>
      <c r="U63" s="204"/>
      <c r="V63" s="204"/>
      <c r="W63" s="204"/>
      <c r="X63" s="204"/>
      <c r="Y63" s="204"/>
      <c r="Z63" s="204"/>
      <c r="AA63" s="204"/>
      <c r="AB63" s="204"/>
      <c r="AC63" s="204"/>
      <c r="AD63" s="204"/>
      <c r="AE63" s="204"/>
      <c r="AF63" s="148" t="s">
        <v>926</v>
      </c>
      <c r="AG63" s="148" t="s">
        <v>960</v>
      </c>
    </row>
    <row r="64" spans="1:33" ht="24.95" customHeight="1" x14ac:dyDescent="0.2">
      <c r="A64" s="141" t="s">
        <v>1051</v>
      </c>
      <c r="B64" s="142" t="s">
        <v>1052</v>
      </c>
      <c r="C64" s="143" t="s">
        <v>1053</v>
      </c>
      <c r="D64" s="143" t="s">
        <v>987</v>
      </c>
      <c r="E64" s="144" t="s">
        <v>925</v>
      </c>
      <c r="F64" s="145">
        <v>5460</v>
      </c>
      <c r="G64" s="146">
        <v>5565</v>
      </c>
      <c r="H64" s="146">
        <v>137</v>
      </c>
      <c r="I64" s="201"/>
      <c r="J64" s="147">
        <v>5690</v>
      </c>
      <c r="K64" s="146">
        <v>5565</v>
      </c>
      <c r="L64" s="146">
        <v>121</v>
      </c>
      <c r="M64" s="146">
        <v>5805</v>
      </c>
      <c r="N64" s="146">
        <v>7</v>
      </c>
      <c r="O64" s="146">
        <v>6277</v>
      </c>
      <c r="P64" s="204"/>
      <c r="Q64" s="204"/>
      <c r="R64" s="204"/>
      <c r="S64" s="204"/>
      <c r="T64" s="204"/>
      <c r="U64" s="204"/>
      <c r="V64" s="204"/>
      <c r="W64" s="204"/>
      <c r="X64" s="204"/>
      <c r="Y64" s="204"/>
      <c r="Z64" s="204"/>
      <c r="AA64" s="204"/>
      <c r="AB64" s="204"/>
      <c r="AC64" s="204"/>
      <c r="AD64" s="204"/>
      <c r="AE64" s="204"/>
      <c r="AF64" s="148" t="s">
        <v>926</v>
      </c>
      <c r="AG64" s="148" t="s">
        <v>960</v>
      </c>
    </row>
    <row r="65" spans="1:33" ht="24.95" customHeight="1" x14ac:dyDescent="0.2">
      <c r="A65" s="141" t="s">
        <v>1054</v>
      </c>
      <c r="B65" s="142" t="s">
        <v>1055</v>
      </c>
      <c r="C65" s="143" t="s">
        <v>1053</v>
      </c>
      <c r="D65" s="143" t="s">
        <v>987</v>
      </c>
      <c r="E65" s="144" t="s">
        <v>925</v>
      </c>
      <c r="F65" s="145">
        <v>7744</v>
      </c>
      <c r="G65" s="146">
        <v>7890</v>
      </c>
      <c r="H65" s="146">
        <v>142</v>
      </c>
      <c r="I65" s="201"/>
      <c r="J65" s="147">
        <v>7736</v>
      </c>
      <c r="K65" s="146">
        <v>7890</v>
      </c>
      <c r="L65" s="146">
        <v>137</v>
      </c>
      <c r="M65" s="146">
        <v>7674</v>
      </c>
      <c r="N65" s="146">
        <v>9</v>
      </c>
      <c r="O65" s="146">
        <v>7382</v>
      </c>
      <c r="P65" s="204"/>
      <c r="Q65" s="204"/>
      <c r="R65" s="204"/>
      <c r="S65" s="204"/>
      <c r="T65" s="204"/>
      <c r="U65" s="204"/>
      <c r="V65" s="204"/>
      <c r="W65" s="204"/>
      <c r="X65" s="204"/>
      <c r="Y65" s="204"/>
      <c r="Z65" s="204"/>
      <c r="AA65" s="204"/>
      <c r="AB65" s="204"/>
      <c r="AC65" s="204"/>
      <c r="AD65" s="204"/>
      <c r="AE65" s="204"/>
      <c r="AF65" s="148" t="s">
        <v>926</v>
      </c>
      <c r="AG65" s="148" t="s">
        <v>960</v>
      </c>
    </row>
    <row r="66" spans="1:33" ht="24.95" customHeight="1" x14ac:dyDescent="0.2">
      <c r="A66" s="141" t="s">
        <v>1056</v>
      </c>
      <c r="B66" s="157" t="s">
        <v>1057</v>
      </c>
      <c r="C66" s="143" t="s">
        <v>987</v>
      </c>
      <c r="D66" s="143" t="s">
        <v>987</v>
      </c>
      <c r="E66" s="144" t="s">
        <v>925</v>
      </c>
      <c r="F66" s="145">
        <v>7085</v>
      </c>
      <c r="G66" s="146">
        <f>2860+3545+490+30</f>
        <v>6925</v>
      </c>
      <c r="H66" s="146">
        <v>80</v>
      </c>
      <c r="I66" s="201"/>
      <c r="J66" s="147">
        <v>7135</v>
      </c>
      <c r="K66" s="146">
        <v>6925</v>
      </c>
      <c r="L66" s="146">
        <v>76</v>
      </c>
      <c r="M66" s="146">
        <v>4727</v>
      </c>
      <c r="N66" s="146">
        <v>0</v>
      </c>
      <c r="O66" s="146">
        <v>4363</v>
      </c>
      <c r="P66" s="204"/>
      <c r="Q66" s="204"/>
      <c r="R66" s="204"/>
      <c r="S66" s="204"/>
      <c r="T66" s="204"/>
      <c r="U66" s="204"/>
      <c r="V66" s="204"/>
      <c r="W66" s="204"/>
      <c r="X66" s="204"/>
      <c r="Y66" s="204"/>
      <c r="Z66" s="204"/>
      <c r="AA66" s="204"/>
      <c r="AB66" s="204"/>
      <c r="AC66" s="204"/>
      <c r="AD66" s="204"/>
      <c r="AE66" s="204"/>
      <c r="AF66" s="148" t="s">
        <v>926</v>
      </c>
      <c r="AG66" s="148" t="s">
        <v>960</v>
      </c>
    </row>
    <row r="67" spans="1:33" ht="24.95" customHeight="1" x14ac:dyDescent="0.2">
      <c r="A67" s="141" t="s">
        <v>1058</v>
      </c>
      <c r="B67" s="157" t="s">
        <v>1059</v>
      </c>
      <c r="C67" s="143" t="s">
        <v>937</v>
      </c>
      <c r="D67" s="143" t="s">
        <v>937</v>
      </c>
      <c r="E67" s="144" t="s">
        <v>925</v>
      </c>
      <c r="F67" s="145">
        <v>7835</v>
      </c>
      <c r="G67" s="146">
        <f>15+725+2400+4590</f>
        <v>7730</v>
      </c>
      <c r="H67" s="146">
        <v>127</v>
      </c>
      <c r="I67" s="201"/>
      <c r="J67" s="147">
        <v>7812</v>
      </c>
      <c r="K67" s="146">
        <v>7730</v>
      </c>
      <c r="L67" s="146">
        <v>115</v>
      </c>
      <c r="M67" s="146">
        <v>6017</v>
      </c>
      <c r="N67" s="146">
        <v>10</v>
      </c>
      <c r="O67" s="146">
        <v>6555</v>
      </c>
      <c r="P67" s="204"/>
      <c r="Q67" s="204"/>
      <c r="R67" s="204"/>
      <c r="S67" s="204"/>
      <c r="T67" s="204"/>
      <c r="U67" s="204"/>
      <c r="V67" s="204"/>
      <c r="W67" s="204"/>
      <c r="X67" s="204"/>
      <c r="Y67" s="204"/>
      <c r="Z67" s="204"/>
      <c r="AA67" s="204"/>
      <c r="AB67" s="204"/>
      <c r="AC67" s="204"/>
      <c r="AD67" s="204"/>
      <c r="AE67" s="204"/>
      <c r="AF67" s="148" t="s">
        <v>926</v>
      </c>
      <c r="AG67" s="148" t="s">
        <v>960</v>
      </c>
    </row>
    <row r="68" spans="1:33" ht="24.95" customHeight="1" x14ac:dyDescent="0.2">
      <c r="A68" s="141" t="s">
        <v>1060</v>
      </c>
      <c r="B68" s="157" t="s">
        <v>1061</v>
      </c>
      <c r="C68" s="143" t="s">
        <v>930</v>
      </c>
      <c r="D68" s="143" t="s">
        <v>937</v>
      </c>
      <c r="E68" s="144" t="s">
        <v>925</v>
      </c>
      <c r="F68" s="145">
        <v>2728</v>
      </c>
      <c r="G68" s="146">
        <v>3457</v>
      </c>
      <c r="H68" s="146">
        <v>66</v>
      </c>
      <c r="I68" s="201"/>
      <c r="J68" s="147">
        <v>0</v>
      </c>
      <c r="K68" s="146">
        <v>0</v>
      </c>
      <c r="L68" s="146">
        <v>0</v>
      </c>
      <c r="M68" s="146">
        <v>0</v>
      </c>
      <c r="N68" s="146">
        <v>0</v>
      </c>
      <c r="O68" s="146">
        <v>0</v>
      </c>
      <c r="P68" s="204"/>
      <c r="Q68" s="204"/>
      <c r="R68" s="204"/>
      <c r="S68" s="204"/>
      <c r="T68" s="204"/>
      <c r="U68" s="204"/>
      <c r="V68" s="204"/>
      <c r="W68" s="204"/>
      <c r="X68" s="204"/>
      <c r="Y68" s="204"/>
      <c r="Z68" s="204"/>
      <c r="AA68" s="204"/>
      <c r="AB68" s="204"/>
      <c r="AC68" s="204"/>
      <c r="AD68" s="204"/>
      <c r="AE68" s="204"/>
      <c r="AF68" s="148" t="s">
        <v>926</v>
      </c>
      <c r="AG68" s="148" t="s">
        <v>960</v>
      </c>
    </row>
    <row r="69" spans="1:33" ht="24.95" customHeight="1" x14ac:dyDescent="0.2">
      <c r="A69" s="141" t="s">
        <v>1062</v>
      </c>
      <c r="B69" s="157" t="s">
        <v>1063</v>
      </c>
      <c r="C69" s="143" t="s">
        <v>937</v>
      </c>
      <c r="D69" s="143" t="s">
        <v>937</v>
      </c>
      <c r="E69" s="144" t="s">
        <v>925</v>
      </c>
      <c r="F69" s="145">
        <v>7985</v>
      </c>
      <c r="G69" s="146">
        <f>1840+3275+85+4665+15</f>
        <v>9880</v>
      </c>
      <c r="H69" s="146">
        <v>115</v>
      </c>
      <c r="I69" s="201"/>
      <c r="J69" s="147">
        <v>7752</v>
      </c>
      <c r="K69" s="146">
        <v>10071</v>
      </c>
      <c r="L69" s="146">
        <v>113</v>
      </c>
      <c r="M69" s="146">
        <v>4757</v>
      </c>
      <c r="N69" s="146">
        <v>5</v>
      </c>
      <c r="O69" s="146">
        <v>4123</v>
      </c>
      <c r="P69" s="204"/>
      <c r="Q69" s="204"/>
      <c r="R69" s="204"/>
      <c r="S69" s="204"/>
      <c r="T69" s="204"/>
      <c r="U69" s="204"/>
      <c r="V69" s="204"/>
      <c r="W69" s="204"/>
      <c r="X69" s="204"/>
      <c r="Y69" s="204"/>
      <c r="Z69" s="204"/>
      <c r="AA69" s="204"/>
      <c r="AB69" s="204"/>
      <c r="AC69" s="204"/>
      <c r="AD69" s="204"/>
      <c r="AE69" s="204"/>
      <c r="AF69" s="148" t="s">
        <v>926</v>
      </c>
      <c r="AG69" s="148" t="s">
        <v>960</v>
      </c>
    </row>
    <row r="70" spans="1:33" ht="24.95" customHeight="1" x14ac:dyDescent="0.2">
      <c r="A70" s="141" t="s">
        <v>1064</v>
      </c>
      <c r="B70" s="157" t="s">
        <v>1065</v>
      </c>
      <c r="C70" s="143" t="s">
        <v>947</v>
      </c>
      <c r="D70" s="143" t="s">
        <v>947</v>
      </c>
      <c r="E70" s="144" t="s">
        <v>1066</v>
      </c>
      <c r="F70" s="145">
        <f>1213+7654</f>
        <v>8867</v>
      </c>
      <c r="G70" s="146">
        <v>7954</v>
      </c>
      <c r="H70" s="146">
        <v>180</v>
      </c>
      <c r="I70" s="201"/>
      <c r="J70" s="147">
        <v>8889</v>
      </c>
      <c r="K70" s="146">
        <v>8293</v>
      </c>
      <c r="L70" s="146">
        <v>177</v>
      </c>
      <c r="M70" s="146">
        <v>12146</v>
      </c>
      <c r="N70" s="146">
        <f>178-177</f>
        <v>1</v>
      </c>
      <c r="O70" s="146">
        <v>11888</v>
      </c>
      <c r="P70" s="204"/>
      <c r="Q70" s="204"/>
      <c r="R70" s="204"/>
      <c r="S70" s="204"/>
      <c r="T70" s="204"/>
      <c r="U70" s="204"/>
      <c r="V70" s="204"/>
      <c r="W70" s="204"/>
      <c r="X70" s="204"/>
      <c r="Y70" s="204"/>
      <c r="Z70" s="204"/>
      <c r="AA70" s="204"/>
      <c r="AB70" s="204"/>
      <c r="AC70" s="204"/>
      <c r="AD70" s="204"/>
      <c r="AE70" s="204"/>
      <c r="AF70" s="148" t="s">
        <v>926</v>
      </c>
      <c r="AG70" s="148" t="s">
        <v>960</v>
      </c>
    </row>
    <row r="71" spans="1:33" ht="24.95" customHeight="1" x14ac:dyDescent="0.2">
      <c r="A71" s="141" t="s">
        <v>1067</v>
      </c>
      <c r="B71" s="157" t="s">
        <v>1068</v>
      </c>
      <c r="C71" s="143" t="s">
        <v>947</v>
      </c>
      <c r="D71" s="143" t="s">
        <v>947</v>
      </c>
      <c r="E71" s="144" t="s">
        <v>1066</v>
      </c>
      <c r="F71" s="145">
        <v>5050</v>
      </c>
      <c r="G71" s="146">
        <v>5027</v>
      </c>
      <c r="H71" s="146">
        <v>134</v>
      </c>
      <c r="I71" s="201"/>
      <c r="J71" s="147">
        <v>5236</v>
      </c>
      <c r="K71" s="146">
        <v>5027</v>
      </c>
      <c r="L71" s="146">
        <v>0</v>
      </c>
      <c r="M71" s="146">
        <v>0</v>
      </c>
      <c r="N71" s="146">
        <v>2</v>
      </c>
      <c r="O71" s="146">
        <v>0</v>
      </c>
      <c r="P71" s="204"/>
      <c r="Q71" s="204"/>
      <c r="R71" s="204"/>
      <c r="S71" s="204"/>
      <c r="T71" s="204"/>
      <c r="U71" s="204"/>
      <c r="V71" s="204"/>
      <c r="W71" s="204"/>
      <c r="X71" s="204"/>
      <c r="Y71" s="204"/>
      <c r="Z71" s="204"/>
      <c r="AA71" s="204"/>
      <c r="AB71" s="204"/>
      <c r="AC71" s="204"/>
      <c r="AD71" s="204"/>
      <c r="AE71" s="204"/>
      <c r="AF71" s="148" t="s">
        <v>926</v>
      </c>
      <c r="AG71" s="148" t="s">
        <v>960</v>
      </c>
    </row>
    <row r="72" spans="1:33" ht="24.95" customHeight="1" x14ac:dyDescent="0.2">
      <c r="A72" s="141" t="s">
        <v>1069</v>
      </c>
      <c r="B72" s="157" t="s">
        <v>1070</v>
      </c>
      <c r="C72" s="143" t="s">
        <v>947</v>
      </c>
      <c r="D72" s="143" t="s">
        <v>947</v>
      </c>
      <c r="E72" s="144" t="s">
        <v>1066</v>
      </c>
      <c r="F72" s="145">
        <v>5753</v>
      </c>
      <c r="G72" s="146">
        <f>217+6558</f>
        <v>6775</v>
      </c>
      <c r="H72" s="146">
        <v>169</v>
      </c>
      <c r="I72" s="201"/>
      <c r="J72" s="147">
        <v>5815</v>
      </c>
      <c r="K72" s="146">
        <v>6675</v>
      </c>
      <c r="L72" s="146">
        <v>152</v>
      </c>
      <c r="M72" s="146">
        <v>0</v>
      </c>
      <c r="N72" s="146">
        <f>171-152</f>
        <v>19</v>
      </c>
      <c r="O72" s="146">
        <v>0</v>
      </c>
      <c r="P72" s="204"/>
      <c r="Q72" s="204"/>
      <c r="R72" s="204"/>
      <c r="S72" s="204"/>
      <c r="T72" s="204"/>
      <c r="U72" s="204"/>
      <c r="V72" s="204"/>
      <c r="W72" s="204"/>
      <c r="X72" s="204"/>
      <c r="Y72" s="204"/>
      <c r="Z72" s="204"/>
      <c r="AA72" s="204"/>
      <c r="AB72" s="204"/>
      <c r="AC72" s="204"/>
      <c r="AD72" s="204"/>
      <c r="AE72" s="204"/>
      <c r="AF72" s="148" t="s">
        <v>926</v>
      </c>
      <c r="AG72" s="148" t="s">
        <v>960</v>
      </c>
    </row>
    <row r="73" spans="1:33" ht="24.95" customHeight="1" x14ac:dyDescent="0.2">
      <c r="A73" s="141" t="s">
        <v>1071</v>
      </c>
      <c r="B73" s="157" t="s">
        <v>1072</v>
      </c>
      <c r="C73" s="143" t="s">
        <v>947</v>
      </c>
      <c r="D73" s="143" t="s">
        <v>947</v>
      </c>
      <c r="E73" s="144" t="s">
        <v>1066</v>
      </c>
      <c r="F73" s="145">
        <f>3612+825</f>
        <v>4437</v>
      </c>
      <c r="G73" s="146">
        <f>18+6+208+4044</f>
        <v>4276</v>
      </c>
      <c r="H73" s="146">
        <v>124</v>
      </c>
      <c r="I73" s="201"/>
      <c r="J73" s="147">
        <v>0</v>
      </c>
      <c r="K73" s="146">
        <v>0</v>
      </c>
      <c r="L73" s="146">
        <v>0</v>
      </c>
      <c r="M73" s="146">
        <v>0</v>
      </c>
      <c r="N73" s="146">
        <v>0</v>
      </c>
      <c r="O73" s="146">
        <v>0</v>
      </c>
      <c r="P73" s="204"/>
      <c r="Q73" s="204"/>
      <c r="R73" s="204"/>
      <c r="S73" s="204"/>
      <c r="T73" s="204"/>
      <c r="U73" s="204"/>
      <c r="V73" s="204"/>
      <c r="W73" s="204"/>
      <c r="X73" s="204"/>
      <c r="Y73" s="204"/>
      <c r="Z73" s="204"/>
      <c r="AA73" s="204"/>
      <c r="AB73" s="204"/>
      <c r="AC73" s="204"/>
      <c r="AD73" s="204"/>
      <c r="AE73" s="204"/>
      <c r="AF73" s="148" t="s">
        <v>1073</v>
      </c>
      <c r="AG73" s="148" t="s">
        <v>960</v>
      </c>
    </row>
    <row r="74" spans="1:33" ht="24.95" customHeight="1" x14ac:dyDescent="0.2">
      <c r="A74" s="141" t="s">
        <v>1074</v>
      </c>
      <c r="B74" s="142" t="s">
        <v>1075</v>
      </c>
      <c r="C74" s="143" t="s">
        <v>947</v>
      </c>
      <c r="D74" s="143" t="s">
        <v>947</v>
      </c>
      <c r="E74" s="144" t="s">
        <v>948</v>
      </c>
      <c r="F74" s="145">
        <v>8808</v>
      </c>
      <c r="G74" s="146">
        <v>10186</v>
      </c>
      <c r="H74" s="146">
        <v>168</v>
      </c>
      <c r="I74" s="201"/>
      <c r="J74" s="147">
        <v>9213</v>
      </c>
      <c r="K74" s="146">
        <v>10186</v>
      </c>
      <c r="L74" s="146">
        <v>161</v>
      </c>
      <c r="M74" s="146">
        <v>10993</v>
      </c>
      <c r="N74" s="146">
        <v>0</v>
      </c>
      <c r="O74" s="146">
        <v>11193</v>
      </c>
      <c r="P74" s="204"/>
      <c r="Q74" s="204"/>
      <c r="R74" s="204"/>
      <c r="S74" s="204"/>
      <c r="T74" s="204"/>
      <c r="U74" s="204"/>
      <c r="V74" s="204"/>
      <c r="W74" s="204"/>
      <c r="X74" s="204"/>
      <c r="Y74" s="204"/>
      <c r="Z74" s="204"/>
      <c r="AA74" s="204"/>
      <c r="AB74" s="204"/>
      <c r="AC74" s="204"/>
      <c r="AD74" s="204"/>
      <c r="AE74" s="204"/>
      <c r="AF74" s="148" t="s">
        <v>926</v>
      </c>
      <c r="AG74" s="148" t="s">
        <v>960</v>
      </c>
    </row>
    <row r="75" spans="1:33" ht="24.95" customHeight="1" x14ac:dyDescent="0.2">
      <c r="A75" s="141" t="s">
        <v>1076</v>
      </c>
      <c r="B75" s="157" t="s">
        <v>1077</v>
      </c>
      <c r="C75" s="143" t="s">
        <v>947</v>
      </c>
      <c r="D75" s="143" t="s">
        <v>947</v>
      </c>
      <c r="E75" s="144" t="s">
        <v>951</v>
      </c>
      <c r="F75" s="145">
        <v>5070</v>
      </c>
      <c r="G75" s="146">
        <v>4183</v>
      </c>
      <c r="H75" s="146">
        <v>74</v>
      </c>
      <c r="I75" s="201"/>
      <c r="J75" s="147">
        <v>5018</v>
      </c>
      <c r="K75" s="146">
        <v>4186</v>
      </c>
      <c r="L75" s="146">
        <v>0</v>
      </c>
      <c r="M75" s="146">
        <v>0</v>
      </c>
      <c r="N75" s="146">
        <v>0</v>
      </c>
      <c r="O75" s="146">
        <v>0</v>
      </c>
      <c r="P75" s="204"/>
      <c r="Q75" s="204"/>
      <c r="R75" s="204"/>
      <c r="S75" s="204"/>
      <c r="T75" s="204"/>
      <c r="U75" s="204"/>
      <c r="V75" s="204"/>
      <c r="W75" s="204"/>
      <c r="X75" s="204"/>
      <c r="Y75" s="204"/>
      <c r="Z75" s="204"/>
      <c r="AA75" s="204"/>
      <c r="AB75" s="204"/>
      <c r="AC75" s="204"/>
      <c r="AD75" s="204"/>
      <c r="AE75" s="204"/>
      <c r="AF75" s="148" t="s">
        <v>926</v>
      </c>
      <c r="AG75" s="148" t="s">
        <v>960</v>
      </c>
    </row>
    <row r="76" spans="1:33" ht="24.95" customHeight="1" x14ac:dyDescent="0.2">
      <c r="A76" s="141" t="s">
        <v>1078</v>
      </c>
      <c r="B76" s="142" t="s">
        <v>1079</v>
      </c>
      <c r="C76" s="143" t="s">
        <v>947</v>
      </c>
      <c r="D76" s="143" t="s">
        <v>947</v>
      </c>
      <c r="E76" s="144" t="s">
        <v>948</v>
      </c>
      <c r="F76" s="145">
        <v>9870</v>
      </c>
      <c r="G76" s="146">
        <v>10200</v>
      </c>
      <c r="H76" s="146">
        <v>216</v>
      </c>
      <c r="I76" s="201"/>
      <c r="J76" s="147">
        <v>10487</v>
      </c>
      <c r="K76" s="146">
        <v>10200</v>
      </c>
      <c r="L76" s="146">
        <v>208</v>
      </c>
      <c r="M76" s="146">
        <v>13370</v>
      </c>
      <c r="N76" s="146">
        <v>1</v>
      </c>
      <c r="O76" s="146">
        <v>13464</v>
      </c>
      <c r="P76" s="204"/>
      <c r="Q76" s="204"/>
      <c r="R76" s="204"/>
      <c r="S76" s="204"/>
      <c r="T76" s="204"/>
      <c r="U76" s="204"/>
      <c r="V76" s="204"/>
      <c r="W76" s="204"/>
      <c r="X76" s="204"/>
      <c r="Y76" s="204"/>
      <c r="Z76" s="204"/>
      <c r="AA76" s="204"/>
      <c r="AB76" s="204"/>
      <c r="AC76" s="204"/>
      <c r="AD76" s="204"/>
      <c r="AE76" s="204"/>
      <c r="AF76" s="148" t="s">
        <v>926</v>
      </c>
      <c r="AG76" s="148" t="s">
        <v>960</v>
      </c>
    </row>
    <row r="77" spans="1:33" ht="24.95" customHeight="1" x14ac:dyDescent="0.2">
      <c r="A77" s="141" t="s">
        <v>1080</v>
      </c>
      <c r="B77" s="157" t="s">
        <v>1081</v>
      </c>
      <c r="C77" s="143" t="s">
        <v>947</v>
      </c>
      <c r="D77" s="143" t="s">
        <v>947</v>
      </c>
      <c r="E77" s="144" t="s">
        <v>951</v>
      </c>
      <c r="F77" s="145">
        <v>4985</v>
      </c>
      <c r="G77" s="146">
        <f>360+482+1031+2990+6831</f>
        <v>11694</v>
      </c>
      <c r="H77" s="146">
        <v>139</v>
      </c>
      <c r="I77" s="201"/>
      <c r="J77" s="147">
        <v>5066</v>
      </c>
      <c r="K77" s="146">
        <v>14209</v>
      </c>
      <c r="L77" s="146">
        <v>120</v>
      </c>
      <c r="M77" s="146">
        <v>4906</v>
      </c>
      <c r="N77" s="146">
        <v>16</v>
      </c>
      <c r="O77" s="146">
        <v>4720</v>
      </c>
      <c r="P77" s="204"/>
      <c r="Q77" s="204"/>
      <c r="R77" s="204"/>
      <c r="S77" s="204"/>
      <c r="T77" s="204"/>
      <c r="U77" s="204"/>
      <c r="V77" s="204"/>
      <c r="W77" s="204"/>
      <c r="X77" s="204"/>
      <c r="Y77" s="204"/>
      <c r="Z77" s="204"/>
      <c r="AA77" s="204"/>
      <c r="AB77" s="204"/>
      <c r="AC77" s="204"/>
      <c r="AD77" s="204"/>
      <c r="AE77" s="204"/>
      <c r="AF77" s="148" t="s">
        <v>926</v>
      </c>
      <c r="AG77" s="148" t="s">
        <v>960</v>
      </c>
    </row>
    <row r="78" spans="1:33" ht="24.95" customHeight="1" x14ac:dyDescent="0.2">
      <c r="A78" s="141" t="s">
        <v>1082</v>
      </c>
      <c r="B78" s="142" t="s">
        <v>1083</v>
      </c>
      <c r="C78" s="143" t="s">
        <v>947</v>
      </c>
      <c r="D78" s="143" t="s">
        <v>947</v>
      </c>
      <c r="E78" s="144" t="s">
        <v>951</v>
      </c>
      <c r="F78" s="145">
        <v>1069</v>
      </c>
      <c r="G78" s="146">
        <v>2867</v>
      </c>
      <c r="H78" s="146">
        <v>40</v>
      </c>
      <c r="I78" s="201"/>
      <c r="J78" s="147">
        <v>1080</v>
      </c>
      <c r="K78" s="146">
        <v>2705</v>
      </c>
      <c r="L78" s="146">
        <v>33</v>
      </c>
      <c r="M78" s="146">
        <v>1672</v>
      </c>
      <c r="N78" s="146">
        <v>1</v>
      </c>
      <c r="O78" s="146">
        <v>1435</v>
      </c>
      <c r="P78" s="204"/>
      <c r="Q78" s="204"/>
      <c r="R78" s="204"/>
      <c r="S78" s="204"/>
      <c r="T78" s="204"/>
      <c r="U78" s="204"/>
      <c r="V78" s="204"/>
      <c r="W78" s="204"/>
      <c r="X78" s="204"/>
      <c r="Y78" s="204"/>
      <c r="Z78" s="204"/>
      <c r="AA78" s="204"/>
      <c r="AB78" s="204"/>
      <c r="AC78" s="204"/>
      <c r="AD78" s="204"/>
      <c r="AE78" s="204"/>
      <c r="AF78" s="148" t="s">
        <v>926</v>
      </c>
      <c r="AG78" s="148" t="s">
        <v>960</v>
      </c>
    </row>
    <row r="79" spans="1:33" ht="24.95" customHeight="1" x14ac:dyDescent="0.2">
      <c r="A79" s="141" t="s">
        <v>1084</v>
      </c>
      <c r="B79" s="142" t="s">
        <v>1085</v>
      </c>
      <c r="C79" s="143" t="s">
        <v>947</v>
      </c>
      <c r="D79" s="143" t="s">
        <v>947</v>
      </c>
      <c r="E79" s="144" t="s">
        <v>948</v>
      </c>
      <c r="F79" s="145">
        <v>5781</v>
      </c>
      <c r="G79" s="146">
        <v>7207</v>
      </c>
      <c r="H79" s="146">
        <v>167</v>
      </c>
      <c r="I79" s="201"/>
      <c r="J79" s="147">
        <v>6117</v>
      </c>
      <c r="K79" s="146">
        <v>5546</v>
      </c>
      <c r="L79" s="146">
        <v>149</v>
      </c>
      <c r="M79" s="146">
        <v>7022</v>
      </c>
      <c r="N79" s="146">
        <v>16</v>
      </c>
      <c r="O79" s="146">
        <v>7340</v>
      </c>
      <c r="P79" s="204"/>
      <c r="Q79" s="204"/>
      <c r="R79" s="204"/>
      <c r="S79" s="204"/>
      <c r="T79" s="204"/>
      <c r="U79" s="204"/>
      <c r="V79" s="204"/>
      <c r="W79" s="204"/>
      <c r="X79" s="204"/>
      <c r="Y79" s="204"/>
      <c r="Z79" s="204"/>
      <c r="AA79" s="204"/>
      <c r="AB79" s="204"/>
      <c r="AC79" s="204"/>
      <c r="AD79" s="204"/>
      <c r="AE79" s="204"/>
      <c r="AF79" s="148" t="s">
        <v>926</v>
      </c>
      <c r="AG79" s="148" t="s">
        <v>960</v>
      </c>
    </row>
    <row r="80" spans="1:33" ht="24.95" customHeight="1" x14ac:dyDescent="0.2">
      <c r="A80" s="141" t="s">
        <v>1086</v>
      </c>
      <c r="B80" s="157" t="s">
        <v>1087</v>
      </c>
      <c r="C80" s="143" t="s">
        <v>947</v>
      </c>
      <c r="D80" s="143" t="s">
        <v>947</v>
      </c>
      <c r="E80" s="144" t="s">
        <v>1066</v>
      </c>
      <c r="F80" s="145">
        <v>4446</v>
      </c>
      <c r="G80" s="146">
        <v>4270</v>
      </c>
      <c r="H80" s="146">
        <v>98</v>
      </c>
      <c r="I80" s="201"/>
      <c r="J80" s="147">
        <v>4374</v>
      </c>
      <c r="K80" s="146">
        <v>4234</v>
      </c>
      <c r="L80" s="146">
        <v>91</v>
      </c>
      <c r="M80" s="146">
        <v>4400</v>
      </c>
      <c r="N80" s="146">
        <v>3</v>
      </c>
      <c r="O80" s="146">
        <v>4483</v>
      </c>
      <c r="P80" s="204"/>
      <c r="Q80" s="204"/>
      <c r="R80" s="204"/>
      <c r="S80" s="204"/>
      <c r="T80" s="204"/>
      <c r="U80" s="204"/>
      <c r="V80" s="204"/>
      <c r="W80" s="204"/>
      <c r="X80" s="204"/>
      <c r="Y80" s="204"/>
      <c r="Z80" s="204"/>
      <c r="AA80" s="204"/>
      <c r="AB80" s="204"/>
      <c r="AC80" s="204"/>
      <c r="AD80" s="204"/>
      <c r="AE80" s="204"/>
      <c r="AF80" s="148" t="s">
        <v>926</v>
      </c>
      <c r="AG80" s="148" t="s">
        <v>960</v>
      </c>
    </row>
    <row r="81" spans="1:33" ht="24.95" customHeight="1" x14ac:dyDescent="0.2">
      <c r="A81" s="141" t="s">
        <v>1088</v>
      </c>
      <c r="B81" s="157" t="s">
        <v>1089</v>
      </c>
      <c r="C81" s="143" t="s">
        <v>947</v>
      </c>
      <c r="D81" s="143" t="s">
        <v>947</v>
      </c>
      <c r="E81" s="144" t="s">
        <v>951</v>
      </c>
      <c r="F81" s="145">
        <v>2580</v>
      </c>
      <c r="G81" s="146">
        <v>2593</v>
      </c>
      <c r="H81" s="146">
        <v>69</v>
      </c>
      <c r="I81" s="201"/>
      <c r="J81" s="147">
        <v>2450</v>
      </c>
      <c r="K81" s="146">
        <v>2595</v>
      </c>
      <c r="L81" s="146">
        <v>63</v>
      </c>
      <c r="M81" s="146">
        <v>2695</v>
      </c>
      <c r="N81" s="146">
        <v>5</v>
      </c>
      <c r="O81" s="146">
        <v>2874</v>
      </c>
      <c r="P81" s="204"/>
      <c r="Q81" s="204"/>
      <c r="R81" s="204"/>
      <c r="S81" s="204"/>
      <c r="T81" s="204"/>
      <c r="U81" s="204"/>
      <c r="V81" s="204"/>
      <c r="W81" s="204"/>
      <c r="X81" s="204"/>
      <c r="Y81" s="204"/>
      <c r="Z81" s="204"/>
      <c r="AA81" s="204"/>
      <c r="AB81" s="204"/>
      <c r="AC81" s="204"/>
      <c r="AD81" s="204"/>
      <c r="AE81" s="204"/>
      <c r="AF81" s="148" t="s">
        <v>926</v>
      </c>
      <c r="AG81" s="148" t="s">
        <v>960</v>
      </c>
    </row>
    <row r="82" spans="1:33" ht="24.95" customHeight="1" x14ac:dyDescent="0.2">
      <c r="A82" s="141" t="s">
        <v>1090</v>
      </c>
      <c r="B82" s="157" t="s">
        <v>1091</v>
      </c>
      <c r="C82" s="143" t="s">
        <v>947</v>
      </c>
      <c r="D82" s="143" t="s">
        <v>947</v>
      </c>
      <c r="E82" s="144" t="s">
        <v>951</v>
      </c>
      <c r="F82" s="145">
        <v>5958</v>
      </c>
      <c r="G82" s="146">
        <v>6142</v>
      </c>
      <c r="H82" s="146">
        <v>168</v>
      </c>
      <c r="I82" s="201"/>
      <c r="J82" s="147">
        <v>5702</v>
      </c>
      <c r="K82" s="146">
        <v>6668</v>
      </c>
      <c r="L82" s="146">
        <v>153</v>
      </c>
      <c r="M82" s="146">
        <v>8808</v>
      </c>
      <c r="N82" s="146">
        <v>21</v>
      </c>
      <c r="O82" s="146">
        <v>10702</v>
      </c>
      <c r="P82" s="204"/>
      <c r="Q82" s="204"/>
      <c r="R82" s="204"/>
      <c r="S82" s="204"/>
      <c r="T82" s="204"/>
      <c r="U82" s="204"/>
      <c r="V82" s="204"/>
      <c r="W82" s="204"/>
      <c r="X82" s="204"/>
      <c r="Y82" s="204"/>
      <c r="Z82" s="204"/>
      <c r="AA82" s="204"/>
      <c r="AB82" s="204"/>
      <c r="AC82" s="204"/>
      <c r="AD82" s="204"/>
      <c r="AE82" s="204"/>
      <c r="AF82" s="148" t="s">
        <v>926</v>
      </c>
      <c r="AG82" s="148" t="s">
        <v>960</v>
      </c>
    </row>
    <row r="83" spans="1:33" ht="24.95" customHeight="1" x14ac:dyDescent="0.2">
      <c r="A83" s="141" t="s">
        <v>1092</v>
      </c>
      <c r="B83" s="142" t="s">
        <v>1093</v>
      </c>
      <c r="C83" s="143" t="s">
        <v>937</v>
      </c>
      <c r="D83" s="143" t="s">
        <v>937</v>
      </c>
      <c r="E83" s="144" t="s">
        <v>925</v>
      </c>
      <c r="F83" s="145">
        <v>7205</v>
      </c>
      <c r="G83" s="146">
        <v>7830</v>
      </c>
      <c r="H83" s="146">
        <v>135</v>
      </c>
      <c r="I83" s="201"/>
      <c r="J83" s="147">
        <v>6845</v>
      </c>
      <c r="K83" s="146">
        <v>7930</v>
      </c>
      <c r="L83" s="146">
        <v>115</v>
      </c>
      <c r="M83" s="146">
        <v>6459</v>
      </c>
      <c r="N83" s="146">
        <v>12</v>
      </c>
      <c r="O83" s="146">
        <v>6877</v>
      </c>
      <c r="P83" s="204"/>
      <c r="Q83" s="204"/>
      <c r="R83" s="204"/>
      <c r="S83" s="204"/>
      <c r="T83" s="204"/>
      <c r="U83" s="204"/>
      <c r="V83" s="204"/>
      <c r="W83" s="204"/>
      <c r="X83" s="204"/>
      <c r="Y83" s="204"/>
      <c r="Z83" s="204"/>
      <c r="AA83" s="204"/>
      <c r="AB83" s="204"/>
      <c r="AC83" s="204"/>
      <c r="AD83" s="204"/>
      <c r="AE83" s="204"/>
      <c r="AF83" s="148" t="s">
        <v>926</v>
      </c>
      <c r="AG83" s="148" t="s">
        <v>960</v>
      </c>
    </row>
    <row r="84" spans="1:33" ht="24.95" customHeight="1" x14ac:dyDescent="0.2">
      <c r="A84" s="141" t="s">
        <v>1094</v>
      </c>
      <c r="B84" s="157" t="s">
        <v>1095</v>
      </c>
      <c r="C84" s="143" t="s">
        <v>947</v>
      </c>
      <c r="D84" s="143" t="s">
        <v>947</v>
      </c>
      <c r="E84" s="144" t="s">
        <v>951</v>
      </c>
      <c r="F84" s="145">
        <v>4332</v>
      </c>
      <c r="G84" s="146">
        <v>4740</v>
      </c>
      <c r="H84" s="146">
        <v>112</v>
      </c>
      <c r="I84" s="201"/>
      <c r="J84" s="147">
        <v>4295</v>
      </c>
      <c r="K84" s="146">
        <v>4740</v>
      </c>
      <c r="L84" s="146">
        <v>97</v>
      </c>
      <c r="M84" s="146">
        <v>4319</v>
      </c>
      <c r="N84" s="146">
        <v>10</v>
      </c>
      <c r="O84" s="146">
        <v>4859</v>
      </c>
      <c r="P84" s="204"/>
      <c r="Q84" s="204"/>
      <c r="R84" s="204"/>
      <c r="S84" s="204"/>
      <c r="T84" s="204"/>
      <c r="U84" s="204"/>
      <c r="V84" s="204"/>
      <c r="W84" s="204"/>
      <c r="X84" s="204"/>
      <c r="Y84" s="204"/>
      <c r="Z84" s="204"/>
      <c r="AA84" s="204"/>
      <c r="AB84" s="204"/>
      <c r="AC84" s="204"/>
      <c r="AD84" s="204"/>
      <c r="AE84" s="204"/>
      <c r="AF84" s="148" t="s">
        <v>926</v>
      </c>
      <c r="AG84" s="148" t="s">
        <v>960</v>
      </c>
    </row>
    <row r="85" spans="1:33" ht="24.95" customHeight="1" x14ac:dyDescent="0.2">
      <c r="A85" s="141" t="s">
        <v>1096</v>
      </c>
      <c r="B85" s="157" t="s">
        <v>1097</v>
      </c>
      <c r="C85" s="143" t="s">
        <v>947</v>
      </c>
      <c r="D85" s="143" t="s">
        <v>947</v>
      </c>
      <c r="E85" s="144" t="s">
        <v>951</v>
      </c>
      <c r="F85" s="145">
        <f>4532-124</f>
        <v>4408</v>
      </c>
      <c r="G85" s="146">
        <v>5931</v>
      </c>
      <c r="H85" s="146">
        <v>124</v>
      </c>
      <c r="I85" s="201"/>
      <c r="J85" s="147">
        <v>4125</v>
      </c>
      <c r="K85" s="146">
        <v>5931</v>
      </c>
      <c r="L85" s="146">
        <v>119</v>
      </c>
      <c r="M85" s="146">
        <v>5548</v>
      </c>
      <c r="N85" s="146">
        <v>4</v>
      </c>
      <c r="O85" s="146">
        <v>5790</v>
      </c>
      <c r="P85" s="204"/>
      <c r="Q85" s="204"/>
      <c r="R85" s="204"/>
      <c r="S85" s="204"/>
      <c r="T85" s="204"/>
      <c r="U85" s="204"/>
      <c r="V85" s="204"/>
      <c r="W85" s="204"/>
      <c r="X85" s="204"/>
      <c r="Y85" s="204"/>
      <c r="Z85" s="204"/>
      <c r="AA85" s="204"/>
      <c r="AB85" s="204"/>
      <c r="AC85" s="204"/>
      <c r="AD85" s="204"/>
      <c r="AE85" s="204"/>
      <c r="AF85" s="148" t="s">
        <v>926</v>
      </c>
      <c r="AG85" s="148" t="s">
        <v>960</v>
      </c>
    </row>
    <row r="86" spans="1:33" ht="24.95" customHeight="1" x14ac:dyDescent="0.2">
      <c r="A86" s="141" t="s">
        <v>1098</v>
      </c>
      <c r="B86" s="157" t="s">
        <v>1099</v>
      </c>
      <c r="C86" s="143" t="s">
        <v>947</v>
      </c>
      <c r="D86" s="143" t="s">
        <v>947</v>
      </c>
      <c r="E86" s="144" t="s">
        <v>951</v>
      </c>
      <c r="F86" s="145">
        <v>3778</v>
      </c>
      <c r="G86" s="146">
        <v>4725</v>
      </c>
      <c r="H86" s="146">
        <v>52</v>
      </c>
      <c r="I86" s="201"/>
      <c r="J86" s="147">
        <v>3925</v>
      </c>
      <c r="K86" s="146">
        <v>4725</v>
      </c>
      <c r="L86" s="146">
        <v>41</v>
      </c>
      <c r="M86" s="146">
        <v>2034</v>
      </c>
      <c r="N86" s="146">
        <v>5</v>
      </c>
      <c r="O86" s="146">
        <v>2240</v>
      </c>
      <c r="P86" s="204"/>
      <c r="Q86" s="204"/>
      <c r="R86" s="204"/>
      <c r="S86" s="204"/>
      <c r="T86" s="204"/>
      <c r="U86" s="204"/>
      <c r="V86" s="204"/>
      <c r="W86" s="204"/>
      <c r="X86" s="204"/>
      <c r="Y86" s="204"/>
      <c r="Z86" s="204"/>
      <c r="AA86" s="204"/>
      <c r="AB86" s="204"/>
      <c r="AC86" s="204"/>
      <c r="AD86" s="204"/>
      <c r="AE86" s="204"/>
      <c r="AF86" s="148" t="s">
        <v>926</v>
      </c>
      <c r="AG86" s="148" t="s">
        <v>960</v>
      </c>
    </row>
    <row r="87" spans="1:33" ht="24.95" customHeight="1" x14ac:dyDescent="0.2">
      <c r="A87" s="141" t="s">
        <v>1100</v>
      </c>
      <c r="B87" s="157" t="s">
        <v>1101</v>
      </c>
      <c r="C87" s="143" t="s">
        <v>947</v>
      </c>
      <c r="D87" s="143" t="s">
        <v>947</v>
      </c>
      <c r="E87" s="144" t="s">
        <v>951</v>
      </c>
      <c r="F87" s="145">
        <v>3074</v>
      </c>
      <c r="G87" s="146">
        <v>3488</v>
      </c>
      <c r="H87" s="146">
        <v>91</v>
      </c>
      <c r="I87" s="201"/>
      <c r="J87" s="147">
        <v>2892</v>
      </c>
      <c r="K87" s="146">
        <v>3488</v>
      </c>
      <c r="L87" s="146">
        <v>77</v>
      </c>
      <c r="M87" s="146">
        <v>3950</v>
      </c>
      <c r="N87" s="146">
        <v>9</v>
      </c>
      <c r="O87" s="146">
        <v>4289</v>
      </c>
      <c r="P87" s="204"/>
      <c r="Q87" s="204"/>
      <c r="R87" s="204"/>
      <c r="S87" s="204"/>
      <c r="T87" s="204"/>
      <c r="U87" s="204"/>
      <c r="V87" s="204"/>
      <c r="W87" s="204"/>
      <c r="X87" s="204"/>
      <c r="Y87" s="204"/>
      <c r="Z87" s="204"/>
      <c r="AA87" s="204"/>
      <c r="AB87" s="204"/>
      <c r="AC87" s="204"/>
      <c r="AD87" s="204"/>
      <c r="AE87" s="204"/>
      <c r="AF87" s="148" t="s">
        <v>926</v>
      </c>
      <c r="AG87" s="148" t="s">
        <v>960</v>
      </c>
    </row>
    <row r="88" spans="1:33" ht="24.95" customHeight="1" x14ac:dyDescent="0.2">
      <c r="A88" s="141" t="s">
        <v>1102</v>
      </c>
      <c r="B88" s="157" t="s">
        <v>1103</v>
      </c>
      <c r="C88" s="143" t="s">
        <v>947</v>
      </c>
      <c r="D88" s="143" t="s">
        <v>947</v>
      </c>
      <c r="E88" s="144" t="s">
        <v>951</v>
      </c>
      <c r="F88" s="145">
        <v>2001</v>
      </c>
      <c r="G88" s="146">
        <v>4767</v>
      </c>
      <c r="H88" s="146">
        <v>68</v>
      </c>
      <c r="I88" s="201"/>
      <c r="J88" s="147">
        <v>1992</v>
      </c>
      <c r="K88" s="146">
        <v>4767</v>
      </c>
      <c r="L88" s="146">
        <v>54</v>
      </c>
      <c r="M88" s="146">
        <v>2892</v>
      </c>
      <c r="N88" s="146">
        <v>7</v>
      </c>
      <c r="O88" s="146">
        <v>3115</v>
      </c>
      <c r="P88" s="204"/>
      <c r="Q88" s="204"/>
      <c r="R88" s="204"/>
      <c r="S88" s="204"/>
      <c r="T88" s="204"/>
      <c r="U88" s="204"/>
      <c r="V88" s="204"/>
      <c r="W88" s="204"/>
      <c r="X88" s="204"/>
      <c r="Y88" s="204"/>
      <c r="Z88" s="204"/>
      <c r="AA88" s="204"/>
      <c r="AB88" s="204"/>
      <c r="AC88" s="204"/>
      <c r="AD88" s="204"/>
      <c r="AE88" s="204"/>
      <c r="AF88" s="148" t="s">
        <v>926</v>
      </c>
      <c r="AG88" s="148" t="s">
        <v>960</v>
      </c>
    </row>
    <row r="89" spans="1:33" ht="24.95" customHeight="1" x14ac:dyDescent="0.2">
      <c r="A89" s="141" t="s">
        <v>1104</v>
      </c>
      <c r="B89" s="157" t="s">
        <v>1105</v>
      </c>
      <c r="C89" s="143" t="s">
        <v>947</v>
      </c>
      <c r="D89" s="143" t="s">
        <v>947</v>
      </c>
      <c r="E89" s="144" t="s">
        <v>951</v>
      </c>
      <c r="F89" s="145">
        <f>4565-104</f>
        <v>4461</v>
      </c>
      <c r="G89" s="146">
        <v>4192</v>
      </c>
      <c r="H89" s="146">
        <v>104</v>
      </c>
      <c r="I89" s="201"/>
      <c r="J89" s="147">
        <v>4272</v>
      </c>
      <c r="K89" s="146">
        <v>4192</v>
      </c>
      <c r="L89" s="146">
        <v>100</v>
      </c>
      <c r="M89" s="146">
        <v>5372</v>
      </c>
      <c r="N89" s="146">
        <v>7</v>
      </c>
      <c r="O89" s="146">
        <v>6435</v>
      </c>
      <c r="P89" s="204"/>
      <c r="Q89" s="204"/>
      <c r="R89" s="204"/>
      <c r="S89" s="204"/>
      <c r="T89" s="204"/>
      <c r="U89" s="204"/>
      <c r="V89" s="204"/>
      <c r="W89" s="204"/>
      <c r="X89" s="204"/>
      <c r="Y89" s="204"/>
      <c r="Z89" s="204"/>
      <c r="AA89" s="204"/>
      <c r="AB89" s="204"/>
      <c r="AC89" s="204"/>
      <c r="AD89" s="204"/>
      <c r="AE89" s="204"/>
      <c r="AF89" s="148" t="s">
        <v>926</v>
      </c>
      <c r="AG89" s="148" t="s">
        <v>960</v>
      </c>
    </row>
    <row r="90" spans="1:33" ht="24.95" customHeight="1" x14ac:dyDescent="0.2">
      <c r="A90" s="141" t="s">
        <v>1106</v>
      </c>
      <c r="B90" s="157" t="s">
        <v>1107</v>
      </c>
      <c r="C90" s="143" t="s">
        <v>947</v>
      </c>
      <c r="D90" s="143" t="s">
        <v>947</v>
      </c>
      <c r="E90" s="144" t="s">
        <v>1066</v>
      </c>
      <c r="F90" s="145">
        <f>3126+747</f>
        <v>3873</v>
      </c>
      <c r="G90" s="146">
        <v>4111</v>
      </c>
      <c r="H90" s="146">
        <v>113</v>
      </c>
      <c r="I90" s="201"/>
      <c r="J90" s="147">
        <v>3877</v>
      </c>
      <c r="K90" s="146">
        <v>4111</v>
      </c>
      <c r="L90" s="146">
        <v>96</v>
      </c>
      <c r="M90" s="146">
        <v>0</v>
      </c>
      <c r="N90" s="146">
        <f>103-96</f>
        <v>7</v>
      </c>
      <c r="O90" s="146">
        <v>0</v>
      </c>
      <c r="P90" s="204"/>
      <c r="Q90" s="204"/>
      <c r="R90" s="204"/>
      <c r="S90" s="204"/>
      <c r="T90" s="204"/>
      <c r="U90" s="204"/>
      <c r="V90" s="204"/>
      <c r="W90" s="204"/>
      <c r="X90" s="204"/>
      <c r="Y90" s="204"/>
      <c r="Z90" s="204"/>
      <c r="AA90" s="204"/>
      <c r="AB90" s="204"/>
      <c r="AC90" s="204"/>
      <c r="AD90" s="204"/>
      <c r="AE90" s="204"/>
      <c r="AF90" s="148" t="s">
        <v>926</v>
      </c>
      <c r="AG90" s="148" t="s">
        <v>960</v>
      </c>
    </row>
    <row r="91" spans="1:33" ht="24.95" customHeight="1" x14ac:dyDescent="0.2">
      <c r="A91" s="141" t="s">
        <v>1108</v>
      </c>
      <c r="B91" s="142" t="s">
        <v>1109</v>
      </c>
      <c r="C91" s="143" t="s">
        <v>947</v>
      </c>
      <c r="D91" s="143" t="s">
        <v>947</v>
      </c>
      <c r="E91" s="144" t="s">
        <v>948</v>
      </c>
      <c r="F91" s="145">
        <v>2675</v>
      </c>
      <c r="G91" s="146">
        <f>680+360+2570</f>
        <v>3610</v>
      </c>
      <c r="H91" s="146">
        <v>79</v>
      </c>
      <c r="I91" s="201"/>
      <c r="J91" s="147">
        <v>2798</v>
      </c>
      <c r="K91" s="146">
        <v>3610</v>
      </c>
      <c r="L91" s="146">
        <v>67</v>
      </c>
      <c r="M91" s="146">
        <v>4310</v>
      </c>
      <c r="N91" s="146">
        <v>1</v>
      </c>
      <c r="O91" s="146">
        <v>4393</v>
      </c>
      <c r="P91" s="204"/>
      <c r="Q91" s="204"/>
      <c r="R91" s="204"/>
      <c r="S91" s="204"/>
      <c r="T91" s="204"/>
      <c r="U91" s="204"/>
      <c r="V91" s="204"/>
      <c r="W91" s="204"/>
      <c r="X91" s="204"/>
      <c r="Y91" s="204"/>
      <c r="Z91" s="204"/>
      <c r="AA91" s="204"/>
      <c r="AB91" s="204"/>
      <c r="AC91" s="204"/>
      <c r="AD91" s="204"/>
      <c r="AE91" s="204"/>
      <c r="AF91" s="148" t="s">
        <v>926</v>
      </c>
      <c r="AG91" s="149" t="s">
        <v>927</v>
      </c>
    </row>
    <row r="92" spans="1:33" ht="24.95" customHeight="1" x14ac:dyDescent="0.2">
      <c r="A92" s="141" t="s">
        <v>1110</v>
      </c>
      <c r="B92" s="142" t="s">
        <v>1111</v>
      </c>
      <c r="C92" s="143" t="s">
        <v>947</v>
      </c>
      <c r="D92" s="143" t="s">
        <v>947</v>
      </c>
      <c r="E92" s="144" t="s">
        <v>948</v>
      </c>
      <c r="F92" s="145">
        <v>6910</v>
      </c>
      <c r="G92" s="146">
        <v>4725</v>
      </c>
      <c r="H92" s="146">
        <v>85</v>
      </c>
      <c r="I92" s="201"/>
      <c r="J92" s="147">
        <v>7410</v>
      </c>
      <c r="K92" s="146">
        <v>5155</v>
      </c>
      <c r="L92" s="146">
        <v>94</v>
      </c>
      <c r="M92" s="146">
        <v>5641</v>
      </c>
      <c r="N92" s="146">
        <v>0</v>
      </c>
      <c r="O92" s="146">
        <v>6570</v>
      </c>
      <c r="P92" s="204"/>
      <c r="Q92" s="204"/>
      <c r="R92" s="204"/>
      <c r="S92" s="204"/>
      <c r="T92" s="204"/>
      <c r="U92" s="204"/>
      <c r="V92" s="204"/>
      <c r="W92" s="204"/>
      <c r="X92" s="204"/>
      <c r="Y92" s="204"/>
      <c r="Z92" s="204"/>
      <c r="AA92" s="204"/>
      <c r="AB92" s="204"/>
      <c r="AC92" s="204"/>
      <c r="AD92" s="204"/>
      <c r="AE92" s="204"/>
      <c r="AF92" s="148" t="s">
        <v>926</v>
      </c>
      <c r="AG92" s="149" t="s">
        <v>927</v>
      </c>
    </row>
    <row r="93" spans="1:33" ht="24.95" customHeight="1" x14ac:dyDescent="0.2">
      <c r="A93" s="141" t="s">
        <v>1112</v>
      </c>
      <c r="B93" s="142" t="s">
        <v>1113</v>
      </c>
      <c r="C93" s="143" t="s">
        <v>930</v>
      </c>
      <c r="D93" s="143" t="s">
        <v>930</v>
      </c>
      <c r="E93" s="144" t="s">
        <v>925</v>
      </c>
      <c r="F93" s="145">
        <v>1194</v>
      </c>
      <c r="G93" s="146">
        <v>1194</v>
      </c>
      <c r="H93" s="146">
        <v>13</v>
      </c>
      <c r="I93" s="201"/>
      <c r="J93" s="147">
        <v>1186</v>
      </c>
      <c r="K93" s="146">
        <v>1186</v>
      </c>
      <c r="L93" s="146">
        <v>14</v>
      </c>
      <c r="M93" s="146">
        <v>1634</v>
      </c>
      <c r="N93" s="146">
        <v>0</v>
      </c>
      <c r="O93" s="146">
        <v>1634</v>
      </c>
      <c r="P93" s="204"/>
      <c r="Q93" s="204"/>
      <c r="R93" s="204"/>
      <c r="S93" s="204"/>
      <c r="T93" s="204"/>
      <c r="U93" s="204"/>
      <c r="V93" s="204"/>
      <c r="W93" s="204"/>
      <c r="X93" s="204"/>
      <c r="Y93" s="204"/>
      <c r="Z93" s="204"/>
      <c r="AA93" s="204"/>
      <c r="AB93" s="204"/>
      <c r="AC93" s="204"/>
      <c r="AD93" s="204"/>
      <c r="AE93" s="204"/>
      <c r="AF93" s="148" t="s">
        <v>926</v>
      </c>
      <c r="AG93" s="149" t="s">
        <v>927</v>
      </c>
    </row>
    <row r="94" spans="1:33" ht="24.95" customHeight="1" x14ac:dyDescent="0.2">
      <c r="A94" s="141" t="s">
        <v>1114</v>
      </c>
      <c r="B94" s="142" t="s">
        <v>1115</v>
      </c>
      <c r="C94" s="143" t="s">
        <v>947</v>
      </c>
      <c r="D94" s="143" t="s">
        <v>947</v>
      </c>
      <c r="E94" s="144" t="s">
        <v>948</v>
      </c>
      <c r="F94" s="145">
        <v>10980</v>
      </c>
      <c r="G94" s="146">
        <v>8955</v>
      </c>
      <c r="H94" s="146">
        <v>116</v>
      </c>
      <c r="I94" s="201"/>
      <c r="J94" s="147">
        <v>9093</v>
      </c>
      <c r="K94" s="146">
        <v>8955</v>
      </c>
      <c r="L94" s="146">
        <v>117</v>
      </c>
      <c r="M94" s="146">
        <v>11542</v>
      </c>
      <c r="N94" s="146">
        <v>1</v>
      </c>
      <c r="O94" s="146">
        <v>11088</v>
      </c>
      <c r="P94" s="204"/>
      <c r="Q94" s="204"/>
      <c r="R94" s="204"/>
      <c r="S94" s="204"/>
      <c r="T94" s="204"/>
      <c r="U94" s="204"/>
      <c r="V94" s="204"/>
      <c r="W94" s="204"/>
      <c r="X94" s="204"/>
      <c r="Y94" s="204"/>
      <c r="Z94" s="204"/>
      <c r="AA94" s="204"/>
      <c r="AB94" s="204"/>
      <c r="AC94" s="204"/>
      <c r="AD94" s="204"/>
      <c r="AE94" s="204"/>
      <c r="AF94" s="148" t="s">
        <v>926</v>
      </c>
      <c r="AG94" s="148" t="s">
        <v>960</v>
      </c>
    </row>
    <row r="95" spans="1:33" ht="24.95" customHeight="1" x14ac:dyDescent="0.2">
      <c r="A95" s="141" t="s">
        <v>1116</v>
      </c>
      <c r="B95" s="157" t="s">
        <v>1117</v>
      </c>
      <c r="C95" s="143" t="s">
        <v>947</v>
      </c>
      <c r="D95" s="143" t="s">
        <v>947</v>
      </c>
      <c r="E95" s="144" t="s">
        <v>1066</v>
      </c>
      <c r="F95" s="145">
        <f>3067+1823</f>
        <v>4890</v>
      </c>
      <c r="G95" s="146">
        <v>5285</v>
      </c>
      <c r="H95" s="146">
        <v>143</v>
      </c>
      <c r="I95" s="201"/>
      <c r="J95" s="147">
        <v>5270</v>
      </c>
      <c r="K95" s="146">
        <v>5285</v>
      </c>
      <c r="L95" s="146">
        <v>134</v>
      </c>
      <c r="M95" s="146">
        <v>0</v>
      </c>
      <c r="N95" s="146">
        <f>143-134</f>
        <v>9</v>
      </c>
      <c r="O95" s="146">
        <v>0</v>
      </c>
      <c r="P95" s="204"/>
      <c r="Q95" s="204"/>
      <c r="R95" s="204"/>
      <c r="S95" s="204"/>
      <c r="T95" s="204"/>
      <c r="U95" s="204"/>
      <c r="V95" s="204"/>
      <c r="W95" s="204"/>
      <c r="X95" s="204"/>
      <c r="Y95" s="204"/>
      <c r="Z95" s="204"/>
      <c r="AA95" s="204"/>
      <c r="AB95" s="204"/>
      <c r="AC95" s="204"/>
      <c r="AD95" s="204"/>
      <c r="AE95" s="204"/>
      <c r="AF95" s="148" t="s">
        <v>926</v>
      </c>
      <c r="AG95" s="148" t="s">
        <v>960</v>
      </c>
    </row>
    <row r="96" spans="1:33" ht="24.95" customHeight="1" x14ac:dyDescent="0.2">
      <c r="A96" s="141" t="s">
        <v>1118</v>
      </c>
      <c r="B96" s="157" t="s">
        <v>1119</v>
      </c>
      <c r="C96" s="143" t="s">
        <v>947</v>
      </c>
      <c r="D96" s="143" t="s">
        <v>947</v>
      </c>
      <c r="E96" s="144" t="s">
        <v>948</v>
      </c>
      <c r="F96" s="145">
        <v>11145</v>
      </c>
      <c r="G96" s="146">
        <f>13377-172</f>
        <v>13205</v>
      </c>
      <c r="H96" s="146">
        <v>172</v>
      </c>
      <c r="I96" s="201"/>
      <c r="J96" s="147">
        <v>11681</v>
      </c>
      <c r="K96" s="146">
        <v>13205</v>
      </c>
      <c r="L96" s="146">
        <v>153</v>
      </c>
      <c r="M96" s="146">
        <v>9538</v>
      </c>
      <c r="N96" s="146">
        <v>2</v>
      </c>
      <c r="O96" s="146">
        <v>12202</v>
      </c>
      <c r="P96" s="204"/>
      <c r="Q96" s="204"/>
      <c r="R96" s="204"/>
      <c r="S96" s="204"/>
      <c r="T96" s="204"/>
      <c r="U96" s="204"/>
      <c r="V96" s="204"/>
      <c r="W96" s="204"/>
      <c r="X96" s="204"/>
      <c r="Y96" s="204"/>
      <c r="Z96" s="204"/>
      <c r="AA96" s="204"/>
      <c r="AB96" s="204"/>
      <c r="AC96" s="204"/>
      <c r="AD96" s="204"/>
      <c r="AE96" s="204"/>
      <c r="AF96" s="148" t="s">
        <v>926</v>
      </c>
      <c r="AG96" s="148" t="s">
        <v>960</v>
      </c>
    </row>
    <row r="97" spans="1:33" ht="24.95" customHeight="1" x14ac:dyDescent="0.2">
      <c r="A97" s="141" t="s">
        <v>1120</v>
      </c>
      <c r="B97" s="142" t="s">
        <v>1121</v>
      </c>
      <c r="C97" s="143" t="s">
        <v>1053</v>
      </c>
      <c r="D97" s="143" t="s">
        <v>987</v>
      </c>
      <c r="E97" s="144" t="s">
        <v>925</v>
      </c>
      <c r="F97" s="145">
        <v>10640</v>
      </c>
      <c r="G97" s="146">
        <v>13940</v>
      </c>
      <c r="H97" s="146">
        <v>167</v>
      </c>
      <c r="I97" s="201"/>
      <c r="J97" s="147">
        <v>11141</v>
      </c>
      <c r="K97" s="146">
        <v>13495</v>
      </c>
      <c r="L97" s="146">
        <v>148</v>
      </c>
      <c r="M97" s="146">
        <v>8768</v>
      </c>
      <c r="N97" s="146">
        <v>11</v>
      </c>
      <c r="O97" s="146">
        <v>6650</v>
      </c>
      <c r="P97" s="204"/>
      <c r="Q97" s="204"/>
      <c r="R97" s="204"/>
      <c r="S97" s="204"/>
      <c r="T97" s="204"/>
      <c r="U97" s="204"/>
      <c r="V97" s="204"/>
      <c r="W97" s="204"/>
      <c r="X97" s="204"/>
      <c r="Y97" s="204"/>
      <c r="Z97" s="204"/>
      <c r="AA97" s="204"/>
      <c r="AB97" s="204"/>
      <c r="AC97" s="204"/>
      <c r="AD97" s="204"/>
      <c r="AE97" s="204"/>
      <c r="AF97" s="148" t="s">
        <v>926</v>
      </c>
      <c r="AG97" s="148" t="s">
        <v>960</v>
      </c>
    </row>
    <row r="98" spans="1:33" ht="24.95" customHeight="1" x14ac:dyDescent="0.2">
      <c r="A98" s="141" t="s">
        <v>1122</v>
      </c>
      <c r="B98" s="142" t="s">
        <v>1123</v>
      </c>
      <c r="C98" s="143" t="s">
        <v>1053</v>
      </c>
      <c r="D98" s="143" t="s">
        <v>987</v>
      </c>
      <c r="E98" s="144" t="s">
        <v>925</v>
      </c>
      <c r="F98" s="145">
        <v>2445</v>
      </c>
      <c r="G98" s="146">
        <v>2590</v>
      </c>
      <c r="H98" s="146">
        <v>30</v>
      </c>
      <c r="I98" s="201"/>
      <c r="J98" s="147">
        <v>2189</v>
      </c>
      <c r="K98" s="146">
        <v>2590</v>
      </c>
      <c r="L98" s="146">
        <v>23</v>
      </c>
      <c r="M98" s="146">
        <v>1043</v>
      </c>
      <c r="N98" s="146">
        <v>1</v>
      </c>
      <c r="O98" s="146">
        <v>1333</v>
      </c>
      <c r="P98" s="204"/>
      <c r="Q98" s="204"/>
      <c r="R98" s="204"/>
      <c r="S98" s="204"/>
      <c r="T98" s="204"/>
      <c r="U98" s="204"/>
      <c r="V98" s="204"/>
      <c r="W98" s="204"/>
      <c r="X98" s="204"/>
      <c r="Y98" s="204"/>
      <c r="Z98" s="204"/>
      <c r="AA98" s="204"/>
      <c r="AB98" s="204"/>
      <c r="AC98" s="204"/>
      <c r="AD98" s="204"/>
      <c r="AE98" s="204"/>
      <c r="AF98" s="148" t="s">
        <v>926</v>
      </c>
      <c r="AG98" s="148" t="s">
        <v>960</v>
      </c>
    </row>
    <row r="99" spans="1:33" ht="24.95" customHeight="1" x14ac:dyDescent="0.2">
      <c r="A99" s="141" t="s">
        <v>1124</v>
      </c>
      <c r="B99" s="142" t="s">
        <v>1125</v>
      </c>
      <c r="C99" s="143" t="s">
        <v>930</v>
      </c>
      <c r="D99" s="143" t="s">
        <v>930</v>
      </c>
      <c r="E99" s="144" t="s">
        <v>925</v>
      </c>
      <c r="F99" s="145">
        <f>447+1441</f>
        <v>1888</v>
      </c>
      <c r="G99" s="146">
        <f>456+1379</f>
        <v>1835</v>
      </c>
      <c r="H99" s="146">
        <v>30</v>
      </c>
      <c r="I99" s="201"/>
      <c r="J99" s="147">
        <v>2064</v>
      </c>
      <c r="K99" s="146">
        <v>2064</v>
      </c>
      <c r="L99" s="146">
        <v>22</v>
      </c>
      <c r="M99" s="146">
        <v>980</v>
      </c>
      <c r="N99" s="146">
        <v>1</v>
      </c>
      <c r="O99" s="146">
        <v>766</v>
      </c>
      <c r="P99" s="204"/>
      <c r="Q99" s="204"/>
      <c r="R99" s="204"/>
      <c r="S99" s="204"/>
      <c r="T99" s="204"/>
      <c r="U99" s="204"/>
      <c r="V99" s="204"/>
      <c r="W99" s="204"/>
      <c r="X99" s="204"/>
      <c r="Y99" s="204"/>
      <c r="Z99" s="204"/>
      <c r="AA99" s="204"/>
      <c r="AB99" s="204"/>
      <c r="AC99" s="204"/>
      <c r="AD99" s="204"/>
      <c r="AE99" s="204"/>
      <c r="AF99" s="148" t="s">
        <v>926</v>
      </c>
      <c r="AG99" s="149" t="s">
        <v>927</v>
      </c>
    </row>
    <row r="100" spans="1:33" ht="24.95" customHeight="1" x14ac:dyDescent="0.2">
      <c r="A100" s="141" t="s">
        <v>1126</v>
      </c>
      <c r="B100" s="142" t="s">
        <v>1127</v>
      </c>
      <c r="C100" s="143" t="s">
        <v>930</v>
      </c>
      <c r="D100" s="143" t="s">
        <v>930</v>
      </c>
      <c r="E100" s="144" t="s">
        <v>925</v>
      </c>
      <c r="F100" s="145">
        <v>4610</v>
      </c>
      <c r="G100" s="146">
        <v>4420</v>
      </c>
      <c r="H100" s="146">
        <v>72</v>
      </c>
      <c r="I100" s="201"/>
      <c r="J100" s="147">
        <v>5194</v>
      </c>
      <c r="K100" s="146">
        <v>5000</v>
      </c>
      <c r="L100" s="146">
        <v>69</v>
      </c>
      <c r="M100" s="146">
        <v>2662</v>
      </c>
      <c r="N100" s="146">
        <v>3</v>
      </c>
      <c r="O100" s="146">
        <v>2748</v>
      </c>
      <c r="P100" s="204"/>
      <c r="Q100" s="204"/>
      <c r="R100" s="204"/>
      <c r="S100" s="204"/>
      <c r="T100" s="204"/>
      <c r="U100" s="204"/>
      <c r="V100" s="204"/>
      <c r="W100" s="204"/>
      <c r="X100" s="204"/>
      <c r="Y100" s="204"/>
      <c r="Z100" s="204"/>
      <c r="AA100" s="204"/>
      <c r="AB100" s="204"/>
      <c r="AC100" s="204"/>
      <c r="AD100" s="204"/>
      <c r="AE100" s="204"/>
      <c r="AF100" s="148" t="s">
        <v>926</v>
      </c>
      <c r="AG100" s="148" t="s">
        <v>960</v>
      </c>
    </row>
    <row r="101" spans="1:33" ht="24.95" customHeight="1" x14ac:dyDescent="0.2">
      <c r="A101" s="141" t="s">
        <v>1128</v>
      </c>
      <c r="B101" s="142" t="s">
        <v>1129</v>
      </c>
      <c r="C101" s="143" t="s">
        <v>930</v>
      </c>
      <c r="D101" s="143" t="s">
        <v>930</v>
      </c>
      <c r="E101" s="144" t="s">
        <v>925</v>
      </c>
      <c r="F101" s="145">
        <v>3530</v>
      </c>
      <c r="G101" s="146">
        <v>3520</v>
      </c>
      <c r="H101" s="146">
        <v>18</v>
      </c>
      <c r="I101" s="201"/>
      <c r="J101" s="147">
        <v>3434</v>
      </c>
      <c r="K101" s="146">
        <v>3544</v>
      </c>
      <c r="L101" s="146">
        <v>14</v>
      </c>
      <c r="M101" s="146">
        <v>680</v>
      </c>
      <c r="N101" s="146">
        <v>1</v>
      </c>
      <c r="O101" s="146">
        <v>531</v>
      </c>
      <c r="P101" s="204"/>
      <c r="Q101" s="204"/>
      <c r="R101" s="204"/>
      <c r="S101" s="204"/>
      <c r="T101" s="204"/>
      <c r="U101" s="204"/>
      <c r="V101" s="204"/>
      <c r="W101" s="204"/>
      <c r="X101" s="204"/>
      <c r="Y101" s="204"/>
      <c r="Z101" s="204"/>
      <c r="AA101" s="204"/>
      <c r="AB101" s="204"/>
      <c r="AC101" s="204"/>
      <c r="AD101" s="204"/>
      <c r="AE101" s="204"/>
      <c r="AF101" s="148" t="s">
        <v>926</v>
      </c>
      <c r="AG101" s="148" t="s">
        <v>960</v>
      </c>
    </row>
    <row r="102" spans="1:33" ht="24.75" customHeight="1" x14ac:dyDescent="0.2">
      <c r="A102" s="141" t="s">
        <v>1130</v>
      </c>
      <c r="B102" s="157" t="s">
        <v>1131</v>
      </c>
      <c r="C102" s="143" t="s">
        <v>930</v>
      </c>
      <c r="D102" s="143" t="s">
        <v>937</v>
      </c>
      <c r="E102" s="144" t="s">
        <v>975</v>
      </c>
      <c r="F102" s="145">
        <v>6840</v>
      </c>
      <c r="G102" s="146">
        <v>6580</v>
      </c>
      <c r="H102" s="146">
        <v>70</v>
      </c>
      <c r="I102" s="201"/>
      <c r="J102" s="147">
        <v>6983</v>
      </c>
      <c r="K102" s="146">
        <v>6385</v>
      </c>
      <c r="L102" s="146">
        <v>0</v>
      </c>
      <c r="M102" s="146">
        <v>0</v>
      </c>
      <c r="N102" s="146">
        <v>1</v>
      </c>
      <c r="O102" s="146">
        <v>0</v>
      </c>
      <c r="P102" s="204"/>
      <c r="Q102" s="204"/>
      <c r="R102" s="204"/>
      <c r="S102" s="204"/>
      <c r="T102" s="204"/>
      <c r="U102" s="204"/>
      <c r="V102" s="204"/>
      <c r="W102" s="204"/>
      <c r="X102" s="204"/>
      <c r="Y102" s="204"/>
      <c r="Z102" s="204"/>
      <c r="AA102" s="204"/>
      <c r="AB102" s="204"/>
      <c r="AC102" s="204"/>
      <c r="AD102" s="204"/>
      <c r="AE102" s="204"/>
      <c r="AF102" s="148" t="s">
        <v>926</v>
      </c>
      <c r="AG102" s="148" t="s">
        <v>960</v>
      </c>
    </row>
    <row r="103" spans="1:33" ht="24.95" customHeight="1" x14ac:dyDescent="0.2">
      <c r="A103" s="141" t="s">
        <v>1132</v>
      </c>
      <c r="B103" s="157" t="s">
        <v>1133</v>
      </c>
      <c r="C103" s="143" t="s">
        <v>930</v>
      </c>
      <c r="D103" s="143" t="s">
        <v>937</v>
      </c>
      <c r="E103" s="144" t="s">
        <v>975</v>
      </c>
      <c r="F103" s="145">
        <f>7070+3638</f>
        <v>10708</v>
      </c>
      <c r="G103" s="146">
        <v>10523</v>
      </c>
      <c r="H103" s="146">
        <v>136</v>
      </c>
      <c r="I103" s="201"/>
      <c r="J103" s="147">
        <v>10919</v>
      </c>
      <c r="K103" s="146">
        <v>10523</v>
      </c>
      <c r="L103" s="146">
        <v>123</v>
      </c>
      <c r="M103" s="146">
        <v>6205</v>
      </c>
      <c r="N103" s="146">
        <f>136-123</f>
        <v>13</v>
      </c>
      <c r="O103" s="146">
        <v>7063</v>
      </c>
      <c r="P103" s="204"/>
      <c r="Q103" s="204"/>
      <c r="R103" s="204"/>
      <c r="S103" s="204"/>
      <c r="T103" s="204"/>
      <c r="U103" s="204"/>
      <c r="V103" s="204"/>
      <c r="W103" s="204"/>
      <c r="X103" s="204"/>
      <c r="Y103" s="204"/>
      <c r="Z103" s="204"/>
      <c r="AA103" s="204"/>
      <c r="AB103" s="204"/>
      <c r="AC103" s="204"/>
      <c r="AD103" s="204"/>
      <c r="AE103" s="204"/>
      <c r="AF103" s="148" t="s">
        <v>926</v>
      </c>
      <c r="AG103" s="148" t="s">
        <v>960</v>
      </c>
    </row>
    <row r="104" spans="1:33" ht="24.95" customHeight="1" x14ac:dyDescent="0.2">
      <c r="A104" s="141" t="s">
        <v>1134</v>
      </c>
      <c r="B104" s="157" t="s">
        <v>1135</v>
      </c>
      <c r="C104" s="143" t="s">
        <v>930</v>
      </c>
      <c r="D104" s="143" t="s">
        <v>937</v>
      </c>
      <c r="E104" s="144" t="s">
        <v>975</v>
      </c>
      <c r="F104" s="145">
        <v>7012</v>
      </c>
      <c r="G104" s="146">
        <v>6625</v>
      </c>
      <c r="H104" s="146">
        <v>122</v>
      </c>
      <c r="I104" s="201"/>
      <c r="J104" s="147">
        <v>0</v>
      </c>
      <c r="K104" s="146">
        <v>0</v>
      </c>
      <c r="L104" s="146">
        <v>0</v>
      </c>
      <c r="M104" s="146">
        <v>0</v>
      </c>
      <c r="N104" s="146">
        <v>0</v>
      </c>
      <c r="O104" s="146">
        <v>0</v>
      </c>
      <c r="P104" s="204"/>
      <c r="Q104" s="204"/>
      <c r="R104" s="204"/>
      <c r="S104" s="204"/>
      <c r="T104" s="204"/>
      <c r="U104" s="204"/>
      <c r="V104" s="204"/>
      <c r="W104" s="204"/>
      <c r="X104" s="204"/>
      <c r="Y104" s="204"/>
      <c r="Z104" s="204"/>
      <c r="AA104" s="204"/>
      <c r="AB104" s="204"/>
      <c r="AC104" s="204"/>
      <c r="AD104" s="204"/>
      <c r="AE104" s="204"/>
      <c r="AF104" s="148" t="s">
        <v>926</v>
      </c>
      <c r="AG104" s="148" t="s">
        <v>960</v>
      </c>
    </row>
    <row r="105" spans="1:33" ht="24.95" customHeight="1" x14ac:dyDescent="0.2">
      <c r="A105" s="141" t="s">
        <v>1136</v>
      </c>
      <c r="B105" s="157" t="s">
        <v>1137</v>
      </c>
      <c r="C105" s="143" t="s">
        <v>930</v>
      </c>
      <c r="D105" s="143" t="s">
        <v>937</v>
      </c>
      <c r="E105" s="144" t="s">
        <v>975</v>
      </c>
      <c r="F105" s="145">
        <v>7104</v>
      </c>
      <c r="G105" s="146">
        <v>7153</v>
      </c>
      <c r="H105" s="146">
        <v>93</v>
      </c>
      <c r="I105" s="201"/>
      <c r="J105" s="147">
        <v>6997</v>
      </c>
      <c r="K105" s="146">
        <v>6924</v>
      </c>
      <c r="L105" s="146">
        <v>86</v>
      </c>
      <c r="M105" s="146">
        <v>4073</v>
      </c>
      <c r="N105" s="146">
        <v>2</v>
      </c>
      <c r="O105" s="146">
        <v>4185</v>
      </c>
      <c r="P105" s="204"/>
      <c r="Q105" s="204"/>
      <c r="R105" s="204"/>
      <c r="S105" s="204"/>
      <c r="T105" s="204"/>
      <c r="U105" s="204"/>
      <c r="V105" s="204"/>
      <c r="W105" s="204"/>
      <c r="X105" s="204"/>
      <c r="Y105" s="204"/>
      <c r="Z105" s="204"/>
      <c r="AA105" s="204"/>
      <c r="AB105" s="204"/>
      <c r="AC105" s="204"/>
      <c r="AD105" s="204"/>
      <c r="AE105" s="204"/>
      <c r="AF105" s="148" t="s">
        <v>926</v>
      </c>
      <c r="AG105" s="148" t="s">
        <v>960</v>
      </c>
    </row>
    <row r="106" spans="1:33" ht="24.95" customHeight="1" x14ac:dyDescent="0.2">
      <c r="A106" s="141" t="s">
        <v>1138</v>
      </c>
      <c r="B106" s="157" t="s">
        <v>1139</v>
      </c>
      <c r="C106" s="143" t="s">
        <v>930</v>
      </c>
      <c r="D106" s="143" t="s">
        <v>937</v>
      </c>
      <c r="E106" s="144" t="s">
        <v>975</v>
      </c>
      <c r="F106" s="145">
        <v>3442</v>
      </c>
      <c r="G106" s="146">
        <v>4131</v>
      </c>
      <c r="H106" s="146">
        <v>43</v>
      </c>
      <c r="I106" s="201"/>
      <c r="J106" s="147">
        <v>0</v>
      </c>
      <c r="K106" s="146">
        <v>0</v>
      </c>
      <c r="L106" s="146">
        <v>0</v>
      </c>
      <c r="M106" s="146">
        <v>0</v>
      </c>
      <c r="N106" s="146">
        <v>0</v>
      </c>
      <c r="O106" s="146">
        <v>0</v>
      </c>
      <c r="P106" s="204"/>
      <c r="Q106" s="204"/>
      <c r="R106" s="204"/>
      <c r="S106" s="204"/>
      <c r="T106" s="204"/>
      <c r="U106" s="204"/>
      <c r="V106" s="204"/>
      <c r="W106" s="204"/>
      <c r="X106" s="204"/>
      <c r="Y106" s="204"/>
      <c r="Z106" s="204"/>
      <c r="AA106" s="204"/>
      <c r="AB106" s="204"/>
      <c r="AC106" s="204"/>
      <c r="AD106" s="204"/>
      <c r="AE106" s="204"/>
      <c r="AF106" s="148" t="s">
        <v>926</v>
      </c>
      <c r="AG106" s="148" t="s">
        <v>960</v>
      </c>
    </row>
    <row r="107" spans="1:33" ht="24.95" customHeight="1" x14ac:dyDescent="0.2">
      <c r="A107" s="141" t="s">
        <v>1140</v>
      </c>
      <c r="B107" s="157" t="s">
        <v>1141</v>
      </c>
      <c r="C107" s="143" t="s">
        <v>930</v>
      </c>
      <c r="D107" s="143" t="s">
        <v>937</v>
      </c>
      <c r="E107" s="144" t="s">
        <v>975</v>
      </c>
      <c r="F107" s="145">
        <v>8960</v>
      </c>
      <c r="G107" s="146">
        <v>8938</v>
      </c>
      <c r="H107" s="146">
        <v>108</v>
      </c>
      <c r="I107" s="201"/>
      <c r="J107" s="147">
        <v>9770</v>
      </c>
      <c r="K107" s="146">
        <v>10248</v>
      </c>
      <c r="L107" s="146">
        <v>0</v>
      </c>
      <c r="M107" s="146">
        <v>0</v>
      </c>
      <c r="N107" s="146">
        <v>8</v>
      </c>
      <c r="O107" s="146">
        <v>0</v>
      </c>
      <c r="P107" s="204"/>
      <c r="Q107" s="204"/>
      <c r="R107" s="204"/>
      <c r="S107" s="204"/>
      <c r="T107" s="204"/>
      <c r="U107" s="204"/>
      <c r="V107" s="204"/>
      <c r="W107" s="204"/>
      <c r="X107" s="204"/>
      <c r="Y107" s="204"/>
      <c r="Z107" s="204"/>
      <c r="AA107" s="204"/>
      <c r="AB107" s="204"/>
      <c r="AC107" s="204"/>
      <c r="AD107" s="204"/>
      <c r="AE107" s="204"/>
      <c r="AF107" s="148" t="s">
        <v>926</v>
      </c>
      <c r="AG107" s="148" t="s">
        <v>960</v>
      </c>
    </row>
    <row r="108" spans="1:33" ht="24.95" customHeight="1" x14ac:dyDescent="0.2">
      <c r="A108" s="141" t="s">
        <v>1142</v>
      </c>
      <c r="B108" s="157" t="s">
        <v>1143</v>
      </c>
      <c r="C108" s="143" t="s">
        <v>930</v>
      </c>
      <c r="D108" s="143" t="s">
        <v>937</v>
      </c>
      <c r="E108" s="144" t="s">
        <v>925</v>
      </c>
      <c r="F108" s="145">
        <v>1665</v>
      </c>
      <c r="G108" s="146">
        <v>1480</v>
      </c>
      <c r="H108" s="146">
        <v>27</v>
      </c>
      <c r="I108" s="201"/>
      <c r="J108" s="147">
        <v>1609</v>
      </c>
      <c r="K108" s="146">
        <v>1480</v>
      </c>
      <c r="L108" s="146">
        <v>22</v>
      </c>
      <c r="M108" s="146">
        <v>1229</v>
      </c>
      <c r="N108" s="146">
        <v>1</v>
      </c>
      <c r="O108" s="146">
        <v>1337</v>
      </c>
      <c r="P108" s="204"/>
      <c r="Q108" s="204"/>
      <c r="R108" s="204"/>
      <c r="S108" s="204"/>
      <c r="T108" s="204"/>
      <c r="U108" s="204"/>
      <c r="V108" s="204"/>
      <c r="W108" s="204"/>
      <c r="X108" s="204"/>
      <c r="Y108" s="204"/>
      <c r="Z108" s="204"/>
      <c r="AA108" s="204"/>
      <c r="AB108" s="204"/>
      <c r="AC108" s="204"/>
      <c r="AD108" s="204"/>
      <c r="AE108" s="204"/>
      <c r="AF108" s="148" t="s">
        <v>926</v>
      </c>
      <c r="AG108" s="148" t="s">
        <v>960</v>
      </c>
    </row>
    <row r="109" spans="1:33" ht="24.95" customHeight="1" x14ac:dyDescent="0.2">
      <c r="A109" s="141" t="s">
        <v>1144</v>
      </c>
      <c r="B109" s="157" t="s">
        <v>1145</v>
      </c>
      <c r="C109" s="143" t="s">
        <v>930</v>
      </c>
      <c r="D109" s="143" t="s">
        <v>937</v>
      </c>
      <c r="E109" s="144" t="s">
        <v>975</v>
      </c>
      <c r="F109" s="145">
        <f>6007+675+2014</f>
        <v>8696</v>
      </c>
      <c r="G109" s="146">
        <f>586+2784+4864+12</f>
        <v>8246</v>
      </c>
      <c r="H109" s="146">
        <f>31+90</f>
        <v>121</v>
      </c>
      <c r="I109" s="201"/>
      <c r="J109" s="147">
        <v>0</v>
      </c>
      <c r="K109" s="146">
        <v>0</v>
      </c>
      <c r="L109" s="146">
        <v>0</v>
      </c>
      <c r="M109" s="146">
        <v>0</v>
      </c>
      <c r="N109" s="146">
        <v>0</v>
      </c>
      <c r="O109" s="146">
        <v>0</v>
      </c>
      <c r="P109" s="204"/>
      <c r="Q109" s="204"/>
      <c r="R109" s="204"/>
      <c r="S109" s="204"/>
      <c r="T109" s="204"/>
      <c r="U109" s="204"/>
      <c r="V109" s="204"/>
      <c r="W109" s="204"/>
      <c r="X109" s="204"/>
      <c r="Y109" s="204"/>
      <c r="Z109" s="204"/>
      <c r="AA109" s="204"/>
      <c r="AB109" s="204"/>
      <c r="AC109" s="204"/>
      <c r="AD109" s="204"/>
      <c r="AE109" s="204"/>
      <c r="AF109" s="148" t="s">
        <v>926</v>
      </c>
      <c r="AG109" s="148" t="s">
        <v>927</v>
      </c>
    </row>
    <row r="110" spans="1:33" ht="24.95" customHeight="1" x14ac:dyDescent="0.2">
      <c r="A110" s="141" t="s">
        <v>1146</v>
      </c>
      <c r="B110" s="157" t="s">
        <v>1147</v>
      </c>
      <c r="C110" s="143" t="s">
        <v>930</v>
      </c>
      <c r="D110" s="143" t="s">
        <v>937</v>
      </c>
      <c r="E110" s="144" t="s">
        <v>975</v>
      </c>
      <c r="F110" s="145">
        <f>5015+3948</f>
        <v>8963</v>
      </c>
      <c r="G110" s="146">
        <f>3389+5935+3+135</f>
        <v>9462</v>
      </c>
      <c r="H110" s="146">
        <f>10+69</f>
        <v>79</v>
      </c>
      <c r="I110" s="201"/>
      <c r="J110" s="147">
        <v>0</v>
      </c>
      <c r="K110" s="146">
        <v>0</v>
      </c>
      <c r="L110" s="146">
        <v>0</v>
      </c>
      <c r="M110" s="146">
        <v>0</v>
      </c>
      <c r="N110" s="146">
        <v>0</v>
      </c>
      <c r="O110" s="146">
        <v>0</v>
      </c>
      <c r="P110" s="204"/>
      <c r="Q110" s="204"/>
      <c r="R110" s="204"/>
      <c r="S110" s="204"/>
      <c r="T110" s="204"/>
      <c r="U110" s="204"/>
      <c r="V110" s="204"/>
      <c r="W110" s="204"/>
      <c r="X110" s="204"/>
      <c r="Y110" s="204"/>
      <c r="Z110" s="204"/>
      <c r="AA110" s="204"/>
      <c r="AB110" s="204"/>
      <c r="AC110" s="204"/>
      <c r="AD110" s="204"/>
      <c r="AE110" s="204"/>
      <c r="AF110" s="148" t="s">
        <v>926</v>
      </c>
      <c r="AG110" s="148" t="s">
        <v>927</v>
      </c>
    </row>
    <row r="111" spans="1:33" ht="24.95" customHeight="1" x14ac:dyDescent="0.2">
      <c r="A111" s="141" t="s">
        <v>1148</v>
      </c>
      <c r="B111" s="142" t="s">
        <v>1149</v>
      </c>
      <c r="C111" s="143" t="s">
        <v>930</v>
      </c>
      <c r="D111" s="143" t="s">
        <v>930</v>
      </c>
      <c r="E111" s="144" t="s">
        <v>925</v>
      </c>
      <c r="F111" s="145">
        <f>6430-85</f>
        <v>6345</v>
      </c>
      <c r="G111" s="146">
        <f>9250-85</f>
        <v>9165</v>
      </c>
      <c r="H111" s="146">
        <v>85</v>
      </c>
      <c r="I111" s="201"/>
      <c r="J111" s="147">
        <v>5611</v>
      </c>
      <c r="K111" s="146">
        <v>9165</v>
      </c>
      <c r="L111" s="146">
        <v>63</v>
      </c>
      <c r="M111" s="146">
        <v>2447</v>
      </c>
      <c r="N111" s="146">
        <v>2</v>
      </c>
      <c r="O111" s="146">
        <v>2268</v>
      </c>
      <c r="P111" s="204"/>
      <c r="Q111" s="204"/>
      <c r="R111" s="204"/>
      <c r="S111" s="204"/>
      <c r="T111" s="204"/>
      <c r="U111" s="204"/>
      <c r="V111" s="204"/>
      <c r="W111" s="204"/>
      <c r="X111" s="204"/>
      <c r="Y111" s="204"/>
      <c r="Z111" s="204"/>
      <c r="AA111" s="204"/>
      <c r="AB111" s="204"/>
      <c r="AC111" s="204"/>
      <c r="AD111" s="204"/>
      <c r="AE111" s="204"/>
      <c r="AF111" s="148" t="s">
        <v>926</v>
      </c>
      <c r="AG111" s="148" t="s">
        <v>960</v>
      </c>
    </row>
    <row r="112" spans="1:33" ht="24.95" customHeight="1" x14ac:dyDescent="0.2">
      <c r="A112" s="141" t="s">
        <v>1150</v>
      </c>
      <c r="B112" s="157" t="s">
        <v>1151</v>
      </c>
      <c r="C112" s="143" t="s">
        <v>930</v>
      </c>
      <c r="D112" s="143" t="s">
        <v>930</v>
      </c>
      <c r="E112" s="144" t="s">
        <v>1020</v>
      </c>
      <c r="F112" s="145">
        <f>620+330</f>
        <v>950</v>
      </c>
      <c r="G112" s="146">
        <f>85+430+2385+1</f>
        <v>2901</v>
      </c>
      <c r="H112" s="146">
        <v>265</v>
      </c>
      <c r="I112" s="201"/>
      <c r="J112" s="147">
        <v>0</v>
      </c>
      <c r="K112" s="146">
        <v>0</v>
      </c>
      <c r="L112" s="146">
        <v>0</v>
      </c>
      <c r="M112" s="146">
        <v>0</v>
      </c>
      <c r="N112" s="146">
        <v>0</v>
      </c>
      <c r="O112" s="146">
        <v>0</v>
      </c>
      <c r="P112" s="204"/>
      <c r="Q112" s="204"/>
      <c r="R112" s="204"/>
      <c r="S112" s="204"/>
      <c r="T112" s="204"/>
      <c r="U112" s="204"/>
      <c r="V112" s="204"/>
      <c r="W112" s="204"/>
      <c r="X112" s="204"/>
      <c r="Y112" s="204"/>
      <c r="Z112" s="204"/>
      <c r="AA112" s="204"/>
      <c r="AB112" s="204"/>
      <c r="AC112" s="204"/>
      <c r="AD112" s="204"/>
      <c r="AE112" s="204"/>
      <c r="AF112" s="148" t="s">
        <v>926</v>
      </c>
      <c r="AG112" s="148" t="s">
        <v>927</v>
      </c>
    </row>
    <row r="113" spans="1:33" ht="24.95" customHeight="1" x14ac:dyDescent="0.2">
      <c r="A113" s="141" t="s">
        <v>1152</v>
      </c>
      <c r="B113" s="157" t="s">
        <v>1153</v>
      </c>
      <c r="C113" s="143" t="s">
        <v>923</v>
      </c>
      <c r="D113" s="143" t="s">
        <v>987</v>
      </c>
      <c r="E113" s="144" t="s">
        <v>975</v>
      </c>
      <c r="F113" s="145">
        <v>9902</v>
      </c>
      <c r="G113" s="146">
        <v>9882</v>
      </c>
      <c r="H113" s="146">
        <v>163</v>
      </c>
      <c r="I113" s="201"/>
      <c r="J113" s="147">
        <v>9902</v>
      </c>
      <c r="K113" s="146">
        <v>9882</v>
      </c>
      <c r="L113" s="146">
        <v>153</v>
      </c>
      <c r="M113" s="146">
        <v>8221</v>
      </c>
      <c r="N113" s="146">
        <v>10</v>
      </c>
      <c r="O113" s="146">
        <v>8693</v>
      </c>
      <c r="P113" s="204"/>
      <c r="Q113" s="204"/>
      <c r="R113" s="204"/>
      <c r="S113" s="204"/>
      <c r="T113" s="204"/>
      <c r="U113" s="204"/>
      <c r="V113" s="204"/>
      <c r="W113" s="204"/>
      <c r="X113" s="204"/>
      <c r="Y113" s="204"/>
      <c r="Z113" s="204"/>
      <c r="AA113" s="204"/>
      <c r="AB113" s="204"/>
      <c r="AC113" s="204"/>
      <c r="AD113" s="204"/>
      <c r="AE113" s="204"/>
      <c r="AF113" s="148" t="s">
        <v>926</v>
      </c>
      <c r="AG113" s="148" t="s">
        <v>960</v>
      </c>
    </row>
    <row r="114" spans="1:33" ht="24.95" customHeight="1" x14ac:dyDescent="0.2">
      <c r="A114" s="141" t="s">
        <v>1154</v>
      </c>
      <c r="B114" s="157" t="s">
        <v>1155</v>
      </c>
      <c r="C114" s="143" t="s">
        <v>923</v>
      </c>
      <c r="D114" s="143" t="s">
        <v>987</v>
      </c>
      <c r="E114" s="144" t="s">
        <v>975</v>
      </c>
      <c r="F114" s="145">
        <v>9141</v>
      </c>
      <c r="G114" s="146">
        <v>7141</v>
      </c>
      <c r="H114" s="146">
        <v>89</v>
      </c>
      <c r="I114" s="201"/>
      <c r="J114" s="147">
        <v>9136</v>
      </c>
      <c r="K114" s="146">
        <v>7825</v>
      </c>
      <c r="L114" s="146">
        <v>85</v>
      </c>
      <c r="M114" s="146">
        <v>4112</v>
      </c>
      <c r="N114" s="146">
        <v>3</v>
      </c>
      <c r="O114" s="146">
        <v>3801</v>
      </c>
      <c r="P114" s="204"/>
      <c r="Q114" s="204"/>
      <c r="R114" s="204"/>
      <c r="S114" s="204"/>
      <c r="T114" s="204"/>
      <c r="U114" s="204"/>
      <c r="V114" s="204"/>
      <c r="W114" s="204"/>
      <c r="X114" s="204"/>
      <c r="Y114" s="204"/>
      <c r="Z114" s="204"/>
      <c r="AA114" s="204"/>
      <c r="AB114" s="204"/>
      <c r="AC114" s="204"/>
      <c r="AD114" s="204"/>
      <c r="AE114" s="204"/>
      <c r="AF114" s="148" t="s">
        <v>926</v>
      </c>
      <c r="AG114" s="148" t="s">
        <v>960</v>
      </c>
    </row>
    <row r="115" spans="1:33" ht="24.95" customHeight="1" x14ac:dyDescent="0.2">
      <c r="A115" s="141" t="s">
        <v>1156</v>
      </c>
      <c r="B115" s="157" t="s">
        <v>1157</v>
      </c>
      <c r="C115" s="143" t="s">
        <v>923</v>
      </c>
      <c r="D115" s="143" t="s">
        <v>987</v>
      </c>
      <c r="E115" s="144" t="s">
        <v>975</v>
      </c>
      <c r="F115" s="145">
        <v>10101</v>
      </c>
      <c r="G115" s="146">
        <v>10719</v>
      </c>
      <c r="H115" s="146">
        <v>110</v>
      </c>
      <c r="I115" s="201"/>
      <c r="J115" s="147">
        <v>10528</v>
      </c>
      <c r="K115" s="146">
        <v>10719</v>
      </c>
      <c r="L115" s="146">
        <v>102</v>
      </c>
      <c r="M115" s="146">
        <v>4936</v>
      </c>
      <c r="N115" s="146">
        <f>113-102</f>
        <v>11</v>
      </c>
      <c r="O115" s="146">
        <v>5080</v>
      </c>
      <c r="P115" s="204"/>
      <c r="Q115" s="204"/>
      <c r="R115" s="204"/>
      <c r="S115" s="204"/>
      <c r="T115" s="204"/>
      <c r="U115" s="204"/>
      <c r="V115" s="204"/>
      <c r="W115" s="204"/>
      <c r="X115" s="204"/>
      <c r="Y115" s="204"/>
      <c r="Z115" s="204"/>
      <c r="AA115" s="204"/>
      <c r="AB115" s="204"/>
      <c r="AC115" s="204"/>
      <c r="AD115" s="204"/>
      <c r="AE115" s="204"/>
      <c r="AF115" s="148" t="s">
        <v>926</v>
      </c>
      <c r="AG115" s="148" t="s">
        <v>960</v>
      </c>
    </row>
    <row r="116" spans="1:33" ht="24.95" customHeight="1" x14ac:dyDescent="0.2">
      <c r="A116" s="141" t="s">
        <v>1158</v>
      </c>
      <c r="B116" s="157" t="s">
        <v>1159</v>
      </c>
      <c r="C116" s="143" t="s">
        <v>930</v>
      </c>
      <c r="D116" s="143" t="s">
        <v>930</v>
      </c>
      <c r="E116" s="144" t="s">
        <v>975</v>
      </c>
      <c r="F116" s="145">
        <v>14360</v>
      </c>
      <c r="G116" s="146">
        <v>13635</v>
      </c>
      <c r="H116" s="146">
        <v>118</v>
      </c>
      <c r="I116" s="201"/>
      <c r="J116" s="147">
        <v>15798</v>
      </c>
      <c r="K116" s="146">
        <v>15545</v>
      </c>
      <c r="L116" s="146">
        <v>125</v>
      </c>
      <c r="M116" s="146">
        <v>13480</v>
      </c>
      <c r="N116" s="146">
        <v>1</v>
      </c>
      <c r="O116" s="146">
        <v>12395</v>
      </c>
      <c r="P116" s="204"/>
      <c r="Q116" s="204"/>
      <c r="R116" s="204"/>
      <c r="S116" s="204"/>
      <c r="T116" s="204"/>
      <c r="U116" s="204"/>
      <c r="V116" s="204"/>
      <c r="W116" s="204"/>
      <c r="X116" s="204"/>
      <c r="Y116" s="204"/>
      <c r="Z116" s="204"/>
      <c r="AA116" s="204"/>
      <c r="AB116" s="204"/>
      <c r="AC116" s="204"/>
      <c r="AD116" s="204"/>
      <c r="AE116" s="204"/>
      <c r="AF116" s="148" t="s">
        <v>926</v>
      </c>
      <c r="AG116" s="148" t="s">
        <v>960</v>
      </c>
    </row>
    <row r="117" spans="1:33" ht="24.95" customHeight="1" x14ac:dyDescent="0.2">
      <c r="A117" s="141" t="s">
        <v>1160</v>
      </c>
      <c r="B117" s="157" t="s">
        <v>1161</v>
      </c>
      <c r="C117" s="143" t="s">
        <v>987</v>
      </c>
      <c r="D117" s="143" t="s">
        <v>987</v>
      </c>
      <c r="E117" s="144" t="s">
        <v>925</v>
      </c>
      <c r="F117" s="145">
        <v>3850</v>
      </c>
      <c r="G117" s="146">
        <f>290+2080+300+2075</f>
        <v>4745</v>
      </c>
      <c r="H117" s="146">
        <v>72</v>
      </c>
      <c r="I117" s="201"/>
      <c r="J117" s="147">
        <v>3922</v>
      </c>
      <c r="K117" s="146">
        <v>4475</v>
      </c>
      <c r="L117" s="146">
        <v>58</v>
      </c>
      <c r="M117" s="146">
        <v>2648</v>
      </c>
      <c r="N117" s="146">
        <v>2</v>
      </c>
      <c r="O117" s="146">
        <v>2836</v>
      </c>
      <c r="P117" s="204"/>
      <c r="Q117" s="204"/>
      <c r="R117" s="204"/>
      <c r="S117" s="204"/>
      <c r="T117" s="204"/>
      <c r="U117" s="204"/>
      <c r="V117" s="204"/>
      <c r="W117" s="204"/>
      <c r="X117" s="204"/>
      <c r="Y117" s="204"/>
      <c r="Z117" s="204"/>
      <c r="AA117" s="204"/>
      <c r="AB117" s="204"/>
      <c r="AC117" s="204"/>
      <c r="AD117" s="204"/>
      <c r="AE117" s="204"/>
      <c r="AF117" s="148" t="s">
        <v>926</v>
      </c>
      <c r="AG117" s="148" t="s">
        <v>960</v>
      </c>
    </row>
    <row r="118" spans="1:33" ht="24.95" customHeight="1" x14ac:dyDescent="0.2">
      <c r="A118" s="141" t="s">
        <v>1162</v>
      </c>
      <c r="B118" s="157" t="s">
        <v>1163</v>
      </c>
      <c r="C118" s="143" t="s">
        <v>923</v>
      </c>
      <c r="D118" s="143" t="s">
        <v>987</v>
      </c>
      <c r="E118" s="144" t="s">
        <v>975</v>
      </c>
      <c r="F118" s="145">
        <v>9900</v>
      </c>
      <c r="G118" s="146">
        <v>10075</v>
      </c>
      <c r="H118" s="146">
        <v>107</v>
      </c>
      <c r="I118" s="201"/>
      <c r="J118" s="147">
        <v>10876</v>
      </c>
      <c r="K118" s="146">
        <v>10393</v>
      </c>
      <c r="L118" s="146">
        <v>119</v>
      </c>
      <c r="M118" s="146">
        <v>6537</v>
      </c>
      <c r="N118" s="146">
        <v>2</v>
      </c>
      <c r="O118" s="146">
        <v>6235</v>
      </c>
      <c r="P118" s="204"/>
      <c r="Q118" s="204"/>
      <c r="R118" s="204"/>
      <c r="S118" s="204"/>
      <c r="T118" s="204"/>
      <c r="U118" s="204"/>
      <c r="V118" s="204"/>
      <c r="W118" s="204"/>
      <c r="X118" s="204"/>
      <c r="Y118" s="204"/>
      <c r="Z118" s="204"/>
      <c r="AA118" s="204"/>
      <c r="AB118" s="204"/>
      <c r="AC118" s="204"/>
      <c r="AD118" s="204"/>
      <c r="AE118" s="204"/>
      <c r="AF118" s="148" t="s">
        <v>926</v>
      </c>
      <c r="AG118" s="148" t="s">
        <v>960</v>
      </c>
    </row>
    <row r="119" spans="1:33" ht="24.95" customHeight="1" x14ac:dyDescent="0.2">
      <c r="A119" s="141" t="s">
        <v>1164</v>
      </c>
      <c r="B119" s="157" t="s">
        <v>1165</v>
      </c>
      <c r="C119" s="143" t="s">
        <v>923</v>
      </c>
      <c r="D119" s="143" t="s">
        <v>987</v>
      </c>
      <c r="E119" s="144" t="s">
        <v>975</v>
      </c>
      <c r="F119" s="145">
        <v>3251</v>
      </c>
      <c r="G119" s="146">
        <v>3923</v>
      </c>
      <c r="H119" s="146">
        <v>44</v>
      </c>
      <c r="I119" s="201"/>
      <c r="J119" s="147">
        <v>3360</v>
      </c>
      <c r="K119" s="146">
        <v>3907</v>
      </c>
      <c r="L119" s="146">
        <v>0</v>
      </c>
      <c r="M119" s="146">
        <v>0</v>
      </c>
      <c r="N119" s="146">
        <v>1</v>
      </c>
      <c r="O119" s="146">
        <v>0</v>
      </c>
      <c r="P119" s="204"/>
      <c r="Q119" s="204"/>
      <c r="R119" s="204"/>
      <c r="S119" s="204"/>
      <c r="T119" s="204"/>
      <c r="U119" s="204"/>
      <c r="V119" s="204"/>
      <c r="W119" s="204"/>
      <c r="X119" s="204"/>
      <c r="Y119" s="204"/>
      <c r="Z119" s="204"/>
      <c r="AA119" s="204"/>
      <c r="AB119" s="204"/>
      <c r="AC119" s="204"/>
      <c r="AD119" s="204"/>
      <c r="AE119" s="204"/>
      <c r="AF119" s="148" t="s">
        <v>926</v>
      </c>
      <c r="AG119" s="148" t="s">
        <v>960</v>
      </c>
    </row>
    <row r="120" spans="1:33" ht="24.95" customHeight="1" x14ac:dyDescent="0.2">
      <c r="A120" s="141" t="s">
        <v>1166</v>
      </c>
      <c r="B120" s="157" t="s">
        <v>1167</v>
      </c>
      <c r="C120" s="143" t="s">
        <v>930</v>
      </c>
      <c r="D120" s="143" t="s">
        <v>1168</v>
      </c>
      <c r="E120" s="144" t="s">
        <v>925</v>
      </c>
      <c r="F120" s="145">
        <f>4229+3059</f>
        <v>7288</v>
      </c>
      <c r="G120" s="146">
        <f>2674+4331</f>
        <v>7005</v>
      </c>
      <c r="H120" s="146">
        <v>115</v>
      </c>
      <c r="I120" s="201"/>
      <c r="J120" s="147">
        <v>8146</v>
      </c>
      <c r="K120" s="146">
        <v>7275</v>
      </c>
      <c r="L120" s="146">
        <v>105</v>
      </c>
      <c r="M120" s="146">
        <v>0</v>
      </c>
      <c r="N120" s="146">
        <v>5</v>
      </c>
      <c r="O120" s="146">
        <v>0</v>
      </c>
      <c r="P120" s="204"/>
      <c r="Q120" s="204"/>
      <c r="R120" s="204"/>
      <c r="S120" s="204"/>
      <c r="T120" s="204"/>
      <c r="U120" s="204"/>
      <c r="V120" s="204"/>
      <c r="W120" s="204"/>
      <c r="X120" s="204"/>
      <c r="Y120" s="204"/>
      <c r="Z120" s="204"/>
      <c r="AA120" s="204"/>
      <c r="AB120" s="204"/>
      <c r="AC120" s="204"/>
      <c r="AD120" s="204"/>
      <c r="AE120" s="204"/>
      <c r="AF120" s="148" t="s">
        <v>926</v>
      </c>
      <c r="AG120" s="148" t="s">
        <v>960</v>
      </c>
    </row>
    <row r="121" spans="1:33" ht="24.95" customHeight="1" x14ac:dyDescent="0.2">
      <c r="A121" s="141" t="s">
        <v>1169</v>
      </c>
      <c r="B121" s="157" t="s">
        <v>1170</v>
      </c>
      <c r="C121" s="143" t="s">
        <v>1168</v>
      </c>
      <c r="D121" s="143" t="s">
        <v>1168</v>
      </c>
      <c r="E121" s="144" t="s">
        <v>925</v>
      </c>
      <c r="F121" s="145">
        <v>8811</v>
      </c>
      <c r="G121" s="146">
        <v>7717</v>
      </c>
      <c r="H121" s="146">
        <v>78</v>
      </c>
      <c r="I121" s="201"/>
      <c r="J121" s="147">
        <v>8319</v>
      </c>
      <c r="K121" s="146">
        <v>8237</v>
      </c>
      <c r="L121" s="146">
        <v>68</v>
      </c>
      <c r="M121" s="146">
        <v>4362</v>
      </c>
      <c r="N121" s="146">
        <v>2</v>
      </c>
      <c r="O121" s="146">
        <v>4368</v>
      </c>
      <c r="P121" s="204"/>
      <c r="Q121" s="204"/>
      <c r="R121" s="204"/>
      <c r="S121" s="204"/>
      <c r="T121" s="204"/>
      <c r="U121" s="204"/>
      <c r="V121" s="204"/>
      <c r="W121" s="204"/>
      <c r="X121" s="204"/>
      <c r="Y121" s="204"/>
      <c r="Z121" s="204"/>
      <c r="AA121" s="204"/>
      <c r="AB121" s="204"/>
      <c r="AC121" s="204"/>
      <c r="AD121" s="204"/>
      <c r="AE121" s="204"/>
      <c r="AF121" s="148" t="s">
        <v>926</v>
      </c>
      <c r="AG121" s="148" t="s">
        <v>960</v>
      </c>
    </row>
    <row r="122" spans="1:33" ht="24.95" customHeight="1" x14ac:dyDescent="0.2">
      <c r="A122" s="141" t="s">
        <v>1171</v>
      </c>
      <c r="B122" s="157" t="s">
        <v>1172</v>
      </c>
      <c r="C122" s="143" t="s">
        <v>930</v>
      </c>
      <c r="D122" s="143" t="s">
        <v>1168</v>
      </c>
      <c r="E122" s="144" t="s">
        <v>975</v>
      </c>
      <c r="F122" s="145">
        <f>4012+876</f>
        <v>4888</v>
      </c>
      <c r="G122" s="146">
        <f>450+3941+2046</f>
        <v>6437</v>
      </c>
      <c r="H122" s="146">
        <v>56</v>
      </c>
      <c r="I122" s="201"/>
      <c r="J122" s="147">
        <v>0</v>
      </c>
      <c r="K122" s="146">
        <v>0</v>
      </c>
      <c r="L122" s="146">
        <v>0</v>
      </c>
      <c r="M122" s="146">
        <v>0</v>
      </c>
      <c r="N122" s="146">
        <v>0</v>
      </c>
      <c r="O122" s="146">
        <v>0</v>
      </c>
      <c r="P122" s="204"/>
      <c r="Q122" s="204"/>
      <c r="R122" s="204"/>
      <c r="S122" s="204"/>
      <c r="T122" s="204"/>
      <c r="U122" s="204"/>
      <c r="V122" s="204"/>
      <c r="W122" s="204"/>
      <c r="X122" s="204"/>
      <c r="Y122" s="204"/>
      <c r="Z122" s="204"/>
      <c r="AA122" s="204"/>
      <c r="AB122" s="204"/>
      <c r="AC122" s="204"/>
      <c r="AD122" s="204"/>
      <c r="AE122" s="204"/>
      <c r="AF122" s="148" t="s">
        <v>1173</v>
      </c>
      <c r="AG122" s="148" t="s">
        <v>927</v>
      </c>
    </row>
    <row r="123" spans="1:33" ht="24.95" customHeight="1" x14ac:dyDescent="0.2">
      <c r="A123" s="141" t="s">
        <v>1174</v>
      </c>
      <c r="B123" s="157" t="s">
        <v>1175</v>
      </c>
      <c r="C123" s="143" t="s">
        <v>930</v>
      </c>
      <c r="D123" s="143" t="s">
        <v>1168</v>
      </c>
      <c r="E123" s="144" t="s">
        <v>975</v>
      </c>
      <c r="F123" s="145">
        <f>6352+3332</f>
        <v>9684</v>
      </c>
      <c r="G123" s="146">
        <f>895+10010+20</f>
        <v>10925</v>
      </c>
      <c r="H123" s="146">
        <v>106</v>
      </c>
      <c r="I123" s="201"/>
      <c r="J123" s="147">
        <v>0</v>
      </c>
      <c r="K123" s="146">
        <v>0</v>
      </c>
      <c r="L123" s="146">
        <v>0</v>
      </c>
      <c r="M123" s="146">
        <v>0</v>
      </c>
      <c r="N123" s="146">
        <v>0</v>
      </c>
      <c r="O123" s="146">
        <v>0</v>
      </c>
      <c r="P123" s="204"/>
      <c r="Q123" s="204"/>
      <c r="R123" s="204"/>
      <c r="S123" s="204"/>
      <c r="T123" s="204"/>
      <c r="U123" s="204"/>
      <c r="V123" s="204"/>
      <c r="W123" s="204"/>
      <c r="X123" s="204"/>
      <c r="Y123" s="204"/>
      <c r="Z123" s="204"/>
      <c r="AA123" s="204"/>
      <c r="AB123" s="204"/>
      <c r="AC123" s="204"/>
      <c r="AD123" s="204"/>
      <c r="AE123" s="204"/>
      <c r="AF123" s="148" t="s">
        <v>1073</v>
      </c>
      <c r="AG123" s="148" t="s">
        <v>927</v>
      </c>
    </row>
    <row r="124" spans="1:33" ht="24.95" customHeight="1" x14ac:dyDescent="0.2">
      <c r="A124" s="141" t="s">
        <v>1176</v>
      </c>
      <c r="B124" s="157" t="s">
        <v>1177</v>
      </c>
      <c r="C124" s="143" t="s">
        <v>930</v>
      </c>
      <c r="D124" s="143" t="s">
        <v>1168</v>
      </c>
      <c r="E124" s="144" t="s">
        <v>975</v>
      </c>
      <c r="F124" s="145">
        <f>2265+1270</f>
        <v>3535</v>
      </c>
      <c r="G124" s="146">
        <f>1300+2165+2+50+3+9</f>
        <v>3529</v>
      </c>
      <c r="H124" s="146">
        <f>1440+75</f>
        <v>1515</v>
      </c>
      <c r="I124" s="201"/>
      <c r="J124" s="147">
        <v>0</v>
      </c>
      <c r="K124" s="146">
        <v>0</v>
      </c>
      <c r="L124" s="146">
        <v>0</v>
      </c>
      <c r="M124" s="146">
        <v>0</v>
      </c>
      <c r="N124" s="146">
        <v>0</v>
      </c>
      <c r="O124" s="146">
        <v>0</v>
      </c>
      <c r="P124" s="204"/>
      <c r="Q124" s="204"/>
      <c r="R124" s="204"/>
      <c r="S124" s="204"/>
      <c r="T124" s="204"/>
      <c r="U124" s="204"/>
      <c r="V124" s="204"/>
      <c r="W124" s="204"/>
      <c r="X124" s="204"/>
      <c r="Y124" s="204"/>
      <c r="Z124" s="204"/>
      <c r="AA124" s="204"/>
      <c r="AB124" s="204"/>
      <c r="AC124" s="204"/>
      <c r="AD124" s="204"/>
      <c r="AE124" s="204"/>
      <c r="AF124" s="148" t="s">
        <v>1073</v>
      </c>
      <c r="AG124" s="148" t="s">
        <v>927</v>
      </c>
    </row>
    <row r="125" spans="1:33" ht="24.95" customHeight="1" x14ac:dyDescent="0.2">
      <c r="A125" s="141" t="s">
        <v>1178</v>
      </c>
      <c r="B125" s="157" t="s">
        <v>1179</v>
      </c>
      <c r="C125" s="143" t="s">
        <v>930</v>
      </c>
      <c r="D125" s="143" t="s">
        <v>1168</v>
      </c>
      <c r="E125" s="144" t="s">
        <v>975</v>
      </c>
      <c r="F125" s="145">
        <f>4840+1476</f>
        <v>6316</v>
      </c>
      <c r="G125" s="146">
        <f>5+408+324+203+6276</f>
        <v>7216</v>
      </c>
      <c r="H125" s="146">
        <v>43</v>
      </c>
      <c r="I125" s="201"/>
      <c r="J125" s="147">
        <v>0</v>
      </c>
      <c r="K125" s="146">
        <v>0</v>
      </c>
      <c r="L125" s="146">
        <v>0</v>
      </c>
      <c r="M125" s="146">
        <v>0</v>
      </c>
      <c r="N125" s="146">
        <v>0</v>
      </c>
      <c r="O125" s="146">
        <v>0</v>
      </c>
      <c r="P125" s="204"/>
      <c r="Q125" s="204"/>
      <c r="R125" s="204"/>
      <c r="S125" s="204"/>
      <c r="T125" s="204"/>
      <c r="U125" s="204"/>
      <c r="V125" s="204"/>
      <c r="W125" s="204"/>
      <c r="X125" s="204"/>
      <c r="Y125" s="204"/>
      <c r="Z125" s="204"/>
      <c r="AA125" s="204"/>
      <c r="AB125" s="204"/>
      <c r="AC125" s="204"/>
      <c r="AD125" s="204"/>
      <c r="AE125" s="204"/>
      <c r="AF125" s="148" t="s">
        <v>1173</v>
      </c>
      <c r="AG125" s="148" t="s">
        <v>927</v>
      </c>
    </row>
    <row r="126" spans="1:33" ht="24.95" customHeight="1" x14ac:dyDescent="0.2">
      <c r="A126" s="141" t="s">
        <v>1180</v>
      </c>
      <c r="B126" s="157" t="s">
        <v>1181</v>
      </c>
      <c r="C126" s="143" t="s">
        <v>930</v>
      </c>
      <c r="D126" s="143" t="s">
        <v>1182</v>
      </c>
      <c r="E126" s="144" t="s">
        <v>975</v>
      </c>
      <c r="F126" s="145">
        <f>8505+2755</f>
        <v>11260</v>
      </c>
      <c r="G126" s="146">
        <f>10032-99-8</f>
        <v>9925</v>
      </c>
      <c r="H126" s="146">
        <v>99</v>
      </c>
      <c r="I126" s="201"/>
      <c r="J126" s="147">
        <v>11384</v>
      </c>
      <c r="K126" s="146">
        <v>10210</v>
      </c>
      <c r="L126" s="146">
        <v>96</v>
      </c>
      <c r="M126" s="146">
        <v>3539</v>
      </c>
      <c r="N126" s="146">
        <v>12</v>
      </c>
      <c r="O126" s="146">
        <v>4724</v>
      </c>
      <c r="P126" s="204"/>
      <c r="Q126" s="204"/>
      <c r="R126" s="204"/>
      <c r="S126" s="204"/>
      <c r="T126" s="204"/>
      <c r="U126" s="204"/>
      <c r="V126" s="204"/>
      <c r="W126" s="204"/>
      <c r="X126" s="204"/>
      <c r="Y126" s="204"/>
      <c r="Z126" s="204"/>
      <c r="AA126" s="204"/>
      <c r="AB126" s="204"/>
      <c r="AC126" s="204"/>
      <c r="AD126" s="204"/>
      <c r="AE126" s="204"/>
      <c r="AF126" s="148" t="s">
        <v>926</v>
      </c>
      <c r="AG126" s="148" t="s">
        <v>960</v>
      </c>
    </row>
    <row r="127" spans="1:33" ht="24.95" customHeight="1" x14ac:dyDescent="0.2">
      <c r="A127" s="141" t="s">
        <v>1183</v>
      </c>
      <c r="B127" s="157" t="s">
        <v>1184</v>
      </c>
      <c r="C127" s="143" t="s">
        <v>930</v>
      </c>
      <c r="D127" s="143" t="s">
        <v>1182</v>
      </c>
      <c r="E127" s="144" t="s">
        <v>975</v>
      </c>
      <c r="F127" s="145">
        <v>4001</v>
      </c>
      <c r="G127" s="146">
        <f>26+77+140+2776+4166</f>
        <v>7185</v>
      </c>
      <c r="H127" s="146">
        <v>71</v>
      </c>
      <c r="I127" s="201"/>
      <c r="J127" s="147">
        <v>0</v>
      </c>
      <c r="K127" s="146">
        <v>0</v>
      </c>
      <c r="L127" s="146">
        <v>0</v>
      </c>
      <c r="M127" s="146">
        <v>0</v>
      </c>
      <c r="N127" s="146">
        <v>0</v>
      </c>
      <c r="O127" s="146">
        <v>0</v>
      </c>
      <c r="P127" s="204"/>
      <c r="Q127" s="204"/>
      <c r="R127" s="204"/>
      <c r="S127" s="204"/>
      <c r="T127" s="204"/>
      <c r="U127" s="204"/>
      <c r="V127" s="204"/>
      <c r="W127" s="204"/>
      <c r="X127" s="204"/>
      <c r="Y127" s="204"/>
      <c r="Z127" s="204"/>
      <c r="AA127" s="204"/>
      <c r="AB127" s="204"/>
      <c r="AC127" s="204"/>
      <c r="AD127" s="204"/>
      <c r="AE127" s="204"/>
      <c r="AF127" s="148" t="s">
        <v>1173</v>
      </c>
      <c r="AG127" s="148" t="s">
        <v>960</v>
      </c>
    </row>
    <row r="128" spans="1:33" ht="24.95" customHeight="1" x14ac:dyDescent="0.2">
      <c r="A128" s="141" t="s">
        <v>1185</v>
      </c>
      <c r="B128" s="157" t="s">
        <v>1186</v>
      </c>
      <c r="C128" s="143" t="s">
        <v>930</v>
      </c>
      <c r="D128" s="143" t="s">
        <v>1182</v>
      </c>
      <c r="E128" s="144" t="s">
        <v>975</v>
      </c>
      <c r="F128" s="145">
        <f>828+3280</f>
        <v>4108</v>
      </c>
      <c r="G128" s="146">
        <f>1655+4289+2+5+8</f>
        <v>5959</v>
      </c>
      <c r="H128" s="146">
        <f>18+42</f>
        <v>60</v>
      </c>
      <c r="I128" s="201"/>
      <c r="J128" s="147">
        <v>0</v>
      </c>
      <c r="K128" s="146">
        <v>0</v>
      </c>
      <c r="L128" s="146">
        <v>0</v>
      </c>
      <c r="M128" s="146">
        <v>0</v>
      </c>
      <c r="N128" s="146">
        <v>0</v>
      </c>
      <c r="O128" s="146">
        <v>0</v>
      </c>
      <c r="P128" s="204"/>
      <c r="Q128" s="204"/>
      <c r="R128" s="204"/>
      <c r="S128" s="204"/>
      <c r="T128" s="204"/>
      <c r="U128" s="204"/>
      <c r="V128" s="204"/>
      <c r="W128" s="204"/>
      <c r="X128" s="204"/>
      <c r="Y128" s="204"/>
      <c r="Z128" s="204"/>
      <c r="AA128" s="204"/>
      <c r="AB128" s="204"/>
      <c r="AC128" s="204"/>
      <c r="AD128" s="204"/>
      <c r="AE128" s="204"/>
      <c r="AF128" s="148" t="s">
        <v>1173</v>
      </c>
      <c r="AG128" s="148" t="s">
        <v>960</v>
      </c>
    </row>
    <row r="129" spans="1:33" ht="24.95" customHeight="1" x14ac:dyDescent="0.2">
      <c r="A129" s="141" t="s">
        <v>1187</v>
      </c>
      <c r="B129" s="157" t="s">
        <v>1188</v>
      </c>
      <c r="C129" s="143" t="s">
        <v>930</v>
      </c>
      <c r="D129" s="143" t="s">
        <v>1182</v>
      </c>
      <c r="E129" s="144" t="s">
        <v>975</v>
      </c>
      <c r="F129" s="145">
        <v>4340</v>
      </c>
      <c r="G129" s="146">
        <f>10+121+317+1671+3235</f>
        <v>5354</v>
      </c>
      <c r="H129" s="146">
        <v>45</v>
      </c>
      <c r="I129" s="201"/>
      <c r="J129" s="147">
        <v>0</v>
      </c>
      <c r="K129" s="146">
        <v>0</v>
      </c>
      <c r="L129" s="146">
        <v>0</v>
      </c>
      <c r="M129" s="146">
        <v>0</v>
      </c>
      <c r="N129" s="146">
        <v>0</v>
      </c>
      <c r="O129" s="146">
        <v>0</v>
      </c>
      <c r="P129" s="204"/>
      <c r="Q129" s="204"/>
      <c r="R129" s="204"/>
      <c r="S129" s="204"/>
      <c r="T129" s="204"/>
      <c r="U129" s="204"/>
      <c r="V129" s="204"/>
      <c r="W129" s="204"/>
      <c r="X129" s="204"/>
      <c r="Y129" s="204"/>
      <c r="Z129" s="204"/>
      <c r="AA129" s="204"/>
      <c r="AB129" s="204"/>
      <c r="AC129" s="204"/>
      <c r="AD129" s="204"/>
      <c r="AE129" s="204"/>
      <c r="AF129" s="148" t="s">
        <v>1173</v>
      </c>
      <c r="AG129" s="148" t="s">
        <v>960</v>
      </c>
    </row>
    <row r="130" spans="1:33" ht="24.95" customHeight="1" x14ac:dyDescent="0.2">
      <c r="A130" s="141" t="s">
        <v>1189</v>
      </c>
      <c r="B130" s="157" t="s">
        <v>1190</v>
      </c>
      <c r="C130" s="143" t="s">
        <v>930</v>
      </c>
      <c r="D130" s="143" t="s">
        <v>1182</v>
      </c>
      <c r="E130" s="144" t="s">
        <v>975</v>
      </c>
      <c r="F130" s="145">
        <f>1745+7450</f>
        <v>9195</v>
      </c>
      <c r="G130" s="146">
        <f>985+7750+27+21+4+7</f>
        <v>8794</v>
      </c>
      <c r="H130" s="146">
        <v>84</v>
      </c>
      <c r="I130" s="201"/>
      <c r="J130" s="147">
        <v>0</v>
      </c>
      <c r="K130" s="146">
        <v>0</v>
      </c>
      <c r="L130" s="146">
        <v>0</v>
      </c>
      <c r="M130" s="146">
        <v>0</v>
      </c>
      <c r="N130" s="146">
        <v>0</v>
      </c>
      <c r="O130" s="146">
        <v>0</v>
      </c>
      <c r="P130" s="204"/>
      <c r="Q130" s="204"/>
      <c r="R130" s="204"/>
      <c r="S130" s="204"/>
      <c r="T130" s="204"/>
      <c r="U130" s="204"/>
      <c r="V130" s="204"/>
      <c r="W130" s="204"/>
      <c r="X130" s="204"/>
      <c r="Y130" s="204"/>
      <c r="Z130" s="204"/>
      <c r="AA130" s="204"/>
      <c r="AB130" s="204"/>
      <c r="AC130" s="204"/>
      <c r="AD130" s="204"/>
      <c r="AE130" s="204"/>
      <c r="AF130" s="148" t="s">
        <v>1073</v>
      </c>
      <c r="AG130" s="148" t="s">
        <v>960</v>
      </c>
    </row>
    <row r="131" spans="1:33" ht="24.95" customHeight="1" x14ac:dyDescent="0.2">
      <c r="A131" s="141" t="s">
        <v>570</v>
      </c>
      <c r="B131" s="157" t="s">
        <v>1191</v>
      </c>
      <c r="C131" s="143" t="s">
        <v>923</v>
      </c>
      <c r="D131" s="143" t="s">
        <v>1192</v>
      </c>
      <c r="E131" s="144" t="s">
        <v>975</v>
      </c>
      <c r="F131" s="145">
        <f>2390+9470</f>
        <v>11860</v>
      </c>
      <c r="G131" s="146">
        <f>105+580+1120+4870+6671+3</f>
        <v>13349</v>
      </c>
      <c r="H131" s="146">
        <v>127</v>
      </c>
      <c r="I131" s="201"/>
      <c r="J131" s="147">
        <v>0</v>
      </c>
      <c r="K131" s="146">
        <v>0</v>
      </c>
      <c r="L131" s="146">
        <v>0</v>
      </c>
      <c r="M131" s="146">
        <v>0</v>
      </c>
      <c r="N131" s="146">
        <v>0</v>
      </c>
      <c r="O131" s="146">
        <v>0</v>
      </c>
      <c r="P131" s="204"/>
      <c r="Q131" s="204"/>
      <c r="R131" s="204"/>
      <c r="S131" s="204"/>
      <c r="T131" s="204"/>
      <c r="U131" s="204"/>
      <c r="V131" s="204"/>
      <c r="W131" s="204"/>
      <c r="X131" s="204"/>
      <c r="Y131" s="204"/>
      <c r="Z131" s="204"/>
      <c r="AA131" s="204"/>
      <c r="AB131" s="204"/>
      <c r="AC131" s="204"/>
      <c r="AD131" s="204"/>
      <c r="AE131" s="204"/>
      <c r="AF131" s="148" t="s">
        <v>1193</v>
      </c>
      <c r="AG131" s="148" t="s">
        <v>960</v>
      </c>
    </row>
    <row r="132" spans="1:33" ht="24.95" customHeight="1" x14ac:dyDescent="0.2">
      <c r="A132" s="141" t="s">
        <v>1194</v>
      </c>
      <c r="B132" s="157" t="s">
        <v>1195</v>
      </c>
      <c r="C132" s="143" t="s">
        <v>930</v>
      </c>
      <c r="D132" s="143" t="s">
        <v>930</v>
      </c>
      <c r="E132" s="144" t="s">
        <v>925</v>
      </c>
      <c r="F132" s="145">
        <v>3399</v>
      </c>
      <c r="G132" s="146">
        <v>2583</v>
      </c>
      <c r="H132" s="146">
        <v>39</v>
      </c>
      <c r="I132" s="201"/>
      <c r="J132" s="147">
        <v>36263</v>
      </c>
      <c r="K132" s="146">
        <v>2583</v>
      </c>
      <c r="L132" s="146">
        <v>31</v>
      </c>
      <c r="M132" s="146">
        <v>0</v>
      </c>
      <c r="N132" s="146">
        <v>2</v>
      </c>
      <c r="O132" s="146">
        <v>0</v>
      </c>
      <c r="P132" s="204"/>
      <c r="Q132" s="204"/>
      <c r="R132" s="204"/>
      <c r="S132" s="204"/>
      <c r="T132" s="204"/>
      <c r="U132" s="204"/>
      <c r="V132" s="204"/>
      <c r="W132" s="204"/>
      <c r="X132" s="204"/>
      <c r="Y132" s="204"/>
      <c r="Z132" s="204"/>
      <c r="AA132" s="204"/>
      <c r="AB132" s="204"/>
      <c r="AC132" s="204"/>
      <c r="AD132" s="204"/>
      <c r="AE132" s="204"/>
      <c r="AF132" s="148" t="s">
        <v>926</v>
      </c>
      <c r="AG132" s="148" t="s">
        <v>960</v>
      </c>
    </row>
    <row r="133" spans="1:33" ht="24.95" customHeight="1" x14ac:dyDescent="0.2">
      <c r="A133" s="141" t="s">
        <v>1196</v>
      </c>
      <c r="B133" s="157" t="s">
        <v>1197</v>
      </c>
      <c r="C133" s="143" t="s">
        <v>930</v>
      </c>
      <c r="D133" s="143" t="s">
        <v>930</v>
      </c>
      <c r="E133" s="144" t="s">
        <v>1020</v>
      </c>
      <c r="F133" s="145">
        <v>6165</v>
      </c>
      <c r="G133" s="146">
        <v>7029</v>
      </c>
      <c r="H133" s="146">
        <v>61</v>
      </c>
      <c r="I133" s="201"/>
      <c r="J133" s="147">
        <v>0</v>
      </c>
      <c r="K133" s="146">
        <v>0</v>
      </c>
      <c r="L133" s="146">
        <v>0</v>
      </c>
      <c r="M133" s="146">
        <v>0</v>
      </c>
      <c r="N133" s="146">
        <v>0</v>
      </c>
      <c r="O133" s="146">
        <v>0</v>
      </c>
      <c r="P133" s="204"/>
      <c r="Q133" s="204"/>
      <c r="R133" s="204"/>
      <c r="S133" s="204"/>
      <c r="T133" s="204"/>
      <c r="U133" s="204"/>
      <c r="V133" s="204"/>
      <c r="W133" s="204"/>
      <c r="X133" s="204"/>
      <c r="Y133" s="204"/>
      <c r="Z133" s="204"/>
      <c r="AA133" s="204"/>
      <c r="AB133" s="204"/>
      <c r="AC133" s="204"/>
      <c r="AD133" s="204"/>
      <c r="AE133" s="204"/>
      <c r="AF133" s="148" t="s">
        <v>1198</v>
      </c>
      <c r="AG133" s="148" t="s">
        <v>960</v>
      </c>
    </row>
    <row r="134" spans="1:33" ht="24.95" customHeight="1" x14ac:dyDescent="0.2">
      <c r="A134" s="141" t="s">
        <v>1199</v>
      </c>
      <c r="B134" s="157" t="s">
        <v>1200</v>
      </c>
      <c r="C134" s="143" t="s">
        <v>923</v>
      </c>
      <c r="D134" s="143" t="s">
        <v>1053</v>
      </c>
      <c r="E134" s="144" t="s">
        <v>975</v>
      </c>
      <c r="F134" s="145">
        <v>14204</v>
      </c>
      <c r="G134" s="146">
        <v>13359</v>
      </c>
      <c r="H134" s="146">
        <v>122</v>
      </c>
      <c r="I134" s="201"/>
      <c r="J134" s="147">
        <v>14408</v>
      </c>
      <c r="K134" s="146">
        <v>13356</v>
      </c>
      <c r="L134" s="146">
        <v>110</v>
      </c>
      <c r="M134" s="146">
        <v>0</v>
      </c>
      <c r="N134" s="146">
        <f>122-110</f>
        <v>12</v>
      </c>
      <c r="O134" s="146">
        <v>0</v>
      </c>
      <c r="P134" s="204"/>
      <c r="Q134" s="204"/>
      <c r="R134" s="204"/>
      <c r="S134" s="204"/>
      <c r="T134" s="204"/>
      <c r="U134" s="204"/>
      <c r="V134" s="204"/>
      <c r="W134" s="204"/>
      <c r="X134" s="204"/>
      <c r="Y134" s="204"/>
      <c r="Z134" s="204"/>
      <c r="AA134" s="204"/>
      <c r="AB134" s="204"/>
      <c r="AC134" s="204"/>
      <c r="AD134" s="204"/>
      <c r="AE134" s="204"/>
      <c r="AF134" s="148" t="s">
        <v>926</v>
      </c>
      <c r="AG134" s="148" t="s">
        <v>960</v>
      </c>
    </row>
    <row r="135" spans="1:33" ht="24.95" customHeight="1" x14ac:dyDescent="0.2">
      <c r="A135" s="141" t="s">
        <v>1201</v>
      </c>
      <c r="B135" s="157" t="s">
        <v>1202</v>
      </c>
      <c r="C135" s="143" t="s">
        <v>930</v>
      </c>
      <c r="D135" s="143" t="s">
        <v>930</v>
      </c>
      <c r="E135" s="144" t="s">
        <v>975</v>
      </c>
      <c r="F135" s="145">
        <v>5890</v>
      </c>
      <c r="G135" s="146">
        <f>560+1740+1+3803</f>
        <v>6104</v>
      </c>
      <c r="H135" s="146">
        <v>96</v>
      </c>
      <c r="I135" s="201"/>
      <c r="J135" s="147">
        <v>0</v>
      </c>
      <c r="K135" s="146">
        <v>0</v>
      </c>
      <c r="L135" s="146">
        <v>0</v>
      </c>
      <c r="M135" s="146">
        <v>0</v>
      </c>
      <c r="N135" s="146">
        <v>0</v>
      </c>
      <c r="O135" s="146">
        <v>0</v>
      </c>
      <c r="P135" s="204"/>
      <c r="Q135" s="204"/>
      <c r="R135" s="204"/>
      <c r="S135" s="204"/>
      <c r="T135" s="204"/>
      <c r="U135" s="204"/>
      <c r="V135" s="204"/>
      <c r="W135" s="204"/>
      <c r="X135" s="204"/>
      <c r="Y135" s="204"/>
      <c r="Z135" s="204"/>
      <c r="AA135" s="204"/>
      <c r="AB135" s="204"/>
      <c r="AC135" s="204"/>
      <c r="AD135" s="204"/>
      <c r="AE135" s="204"/>
      <c r="AF135" s="148" t="s">
        <v>926</v>
      </c>
      <c r="AG135" s="148" t="s">
        <v>960</v>
      </c>
    </row>
    <row r="136" spans="1:33" ht="24.95" customHeight="1" x14ac:dyDescent="0.2">
      <c r="A136" s="141" t="s">
        <v>1203</v>
      </c>
      <c r="B136" s="157" t="s">
        <v>1204</v>
      </c>
      <c r="C136" s="143" t="s">
        <v>930</v>
      </c>
      <c r="D136" s="143" t="s">
        <v>930</v>
      </c>
      <c r="E136" s="144" t="s">
        <v>975</v>
      </c>
      <c r="F136" s="145">
        <f>645+2930</f>
        <v>3575</v>
      </c>
      <c r="G136" s="146">
        <v>4155</v>
      </c>
      <c r="H136" s="146">
        <v>45</v>
      </c>
      <c r="I136" s="201"/>
      <c r="J136" s="147">
        <v>0</v>
      </c>
      <c r="K136" s="146">
        <v>0</v>
      </c>
      <c r="L136" s="146">
        <v>0</v>
      </c>
      <c r="M136" s="146">
        <v>0</v>
      </c>
      <c r="N136" s="146">
        <v>0</v>
      </c>
      <c r="O136" s="146">
        <v>0</v>
      </c>
      <c r="P136" s="204"/>
      <c r="Q136" s="204"/>
      <c r="R136" s="204"/>
      <c r="S136" s="204"/>
      <c r="T136" s="204"/>
      <c r="U136" s="204"/>
      <c r="V136" s="204"/>
      <c r="W136" s="204"/>
      <c r="X136" s="204"/>
      <c r="Y136" s="204"/>
      <c r="Z136" s="204"/>
      <c r="AA136" s="204"/>
      <c r="AB136" s="204"/>
      <c r="AC136" s="204"/>
      <c r="AD136" s="204"/>
      <c r="AE136" s="204"/>
      <c r="AF136" s="148" t="s">
        <v>1198</v>
      </c>
      <c r="AG136" s="148" t="s">
        <v>960</v>
      </c>
    </row>
    <row r="137" spans="1:33" ht="24.95" customHeight="1" x14ac:dyDescent="0.2">
      <c r="A137" s="141" t="s">
        <v>1205</v>
      </c>
      <c r="B137" s="157" t="s">
        <v>1206</v>
      </c>
      <c r="C137" s="143" t="s">
        <v>930</v>
      </c>
      <c r="D137" s="143" t="s">
        <v>930</v>
      </c>
      <c r="E137" s="144" t="s">
        <v>975</v>
      </c>
      <c r="F137" s="145">
        <f>3810+1385</f>
        <v>5195</v>
      </c>
      <c r="G137" s="146">
        <f>185+280+570+2+4435</f>
        <v>5472</v>
      </c>
      <c r="H137" s="146">
        <v>64</v>
      </c>
      <c r="I137" s="201"/>
      <c r="J137" s="147">
        <v>0</v>
      </c>
      <c r="K137" s="146">
        <v>0</v>
      </c>
      <c r="L137" s="146">
        <v>0</v>
      </c>
      <c r="M137" s="146">
        <v>0</v>
      </c>
      <c r="N137" s="146">
        <v>0</v>
      </c>
      <c r="O137" s="146">
        <v>0</v>
      </c>
      <c r="P137" s="204"/>
      <c r="Q137" s="204"/>
      <c r="R137" s="204"/>
      <c r="S137" s="204"/>
      <c r="T137" s="204"/>
      <c r="U137" s="204"/>
      <c r="V137" s="204"/>
      <c r="W137" s="204"/>
      <c r="X137" s="204"/>
      <c r="Y137" s="204"/>
      <c r="Z137" s="204"/>
      <c r="AA137" s="204"/>
      <c r="AB137" s="204"/>
      <c r="AC137" s="204"/>
      <c r="AD137" s="204"/>
      <c r="AE137" s="204"/>
      <c r="AF137" s="148" t="s">
        <v>1198</v>
      </c>
      <c r="AG137" s="148" t="s">
        <v>960</v>
      </c>
    </row>
    <row r="138" spans="1:33" ht="24.95" customHeight="1" x14ac:dyDescent="0.2">
      <c r="A138" s="141" t="s">
        <v>1207</v>
      </c>
      <c r="B138" s="157" t="s">
        <v>1208</v>
      </c>
      <c r="C138" s="143" t="s">
        <v>930</v>
      </c>
      <c r="D138" s="143" t="s">
        <v>930</v>
      </c>
      <c r="E138" s="144" t="s">
        <v>975</v>
      </c>
      <c r="F138" s="145">
        <f>1030+4615</f>
        <v>5645</v>
      </c>
      <c r="G138" s="146">
        <f>1020+1085+3140+1</f>
        <v>5246</v>
      </c>
      <c r="H138" s="146">
        <v>4155</v>
      </c>
      <c r="I138" s="201"/>
      <c r="J138" s="147">
        <v>0</v>
      </c>
      <c r="K138" s="146">
        <v>0</v>
      </c>
      <c r="L138" s="146">
        <v>0</v>
      </c>
      <c r="M138" s="146">
        <v>0</v>
      </c>
      <c r="N138" s="146">
        <v>0</v>
      </c>
      <c r="O138" s="146">
        <v>0</v>
      </c>
      <c r="P138" s="204"/>
      <c r="Q138" s="204"/>
      <c r="R138" s="204"/>
      <c r="S138" s="204"/>
      <c r="T138" s="204"/>
      <c r="U138" s="204"/>
      <c r="V138" s="204"/>
      <c r="W138" s="204"/>
      <c r="X138" s="204"/>
      <c r="Y138" s="204"/>
      <c r="Z138" s="204"/>
      <c r="AA138" s="204"/>
      <c r="AB138" s="204"/>
      <c r="AC138" s="204"/>
      <c r="AD138" s="204"/>
      <c r="AE138" s="204"/>
      <c r="AF138" s="148" t="s">
        <v>1073</v>
      </c>
      <c r="AG138" s="148" t="s">
        <v>960</v>
      </c>
    </row>
    <row r="139" spans="1:33" ht="24.95" customHeight="1" x14ac:dyDescent="0.2">
      <c r="A139" s="141" t="s">
        <v>1209</v>
      </c>
      <c r="B139" s="157" t="s">
        <v>1210</v>
      </c>
      <c r="C139" s="143" t="s">
        <v>930</v>
      </c>
      <c r="D139" s="143" t="s">
        <v>930</v>
      </c>
      <c r="E139" s="144" t="s">
        <v>975</v>
      </c>
      <c r="F139" s="145">
        <f>565+5785</f>
        <v>6350</v>
      </c>
      <c r="G139" s="146">
        <f>140+2340+56+1+4439</f>
        <v>6976</v>
      </c>
      <c r="H139" s="146">
        <v>117</v>
      </c>
      <c r="I139" s="201"/>
      <c r="J139" s="147">
        <v>0</v>
      </c>
      <c r="K139" s="146">
        <v>0</v>
      </c>
      <c r="L139" s="146">
        <v>0</v>
      </c>
      <c r="M139" s="146">
        <v>0</v>
      </c>
      <c r="N139" s="146">
        <v>0</v>
      </c>
      <c r="O139" s="146">
        <v>0</v>
      </c>
      <c r="P139" s="204"/>
      <c r="Q139" s="204"/>
      <c r="R139" s="204"/>
      <c r="S139" s="204"/>
      <c r="T139" s="204"/>
      <c r="U139" s="204"/>
      <c r="V139" s="204"/>
      <c r="W139" s="204"/>
      <c r="X139" s="204"/>
      <c r="Y139" s="204"/>
      <c r="Z139" s="204"/>
      <c r="AA139" s="204"/>
      <c r="AB139" s="204"/>
      <c r="AC139" s="204"/>
      <c r="AD139" s="204"/>
      <c r="AE139" s="204"/>
      <c r="AF139" s="148" t="s">
        <v>1198</v>
      </c>
      <c r="AG139" s="148" t="s">
        <v>960</v>
      </c>
    </row>
    <row r="140" spans="1:33" ht="24.95" customHeight="1" x14ac:dyDescent="0.2">
      <c r="A140" s="141" t="s">
        <v>1211</v>
      </c>
      <c r="B140" s="157" t="s">
        <v>1212</v>
      </c>
      <c r="C140" s="143" t="s">
        <v>930</v>
      </c>
      <c r="D140" s="143" t="s">
        <v>930</v>
      </c>
      <c r="E140" s="144" t="s">
        <v>975</v>
      </c>
      <c r="F140" s="145">
        <f>585+6275</f>
        <v>6860</v>
      </c>
      <c r="G140" s="146">
        <f>2315+36+606+2955</f>
        <v>5912</v>
      </c>
      <c r="H140" s="146">
        <v>87</v>
      </c>
      <c r="I140" s="201"/>
      <c r="J140" s="147">
        <v>0</v>
      </c>
      <c r="K140" s="146">
        <v>0</v>
      </c>
      <c r="L140" s="146">
        <v>0</v>
      </c>
      <c r="M140" s="146">
        <v>0</v>
      </c>
      <c r="N140" s="146">
        <v>0</v>
      </c>
      <c r="O140" s="146">
        <v>0</v>
      </c>
      <c r="P140" s="204"/>
      <c r="Q140" s="204"/>
      <c r="R140" s="204"/>
      <c r="S140" s="204"/>
      <c r="T140" s="204"/>
      <c r="U140" s="204"/>
      <c r="V140" s="204"/>
      <c r="W140" s="204"/>
      <c r="X140" s="204"/>
      <c r="Y140" s="204"/>
      <c r="Z140" s="204"/>
      <c r="AA140" s="204"/>
      <c r="AB140" s="204"/>
      <c r="AC140" s="204"/>
      <c r="AD140" s="204"/>
      <c r="AE140" s="204"/>
      <c r="AF140" s="148" t="s">
        <v>1073</v>
      </c>
      <c r="AG140" s="148" t="s">
        <v>960</v>
      </c>
    </row>
    <row r="141" spans="1:33" ht="24.95" customHeight="1" x14ac:dyDescent="0.2">
      <c r="A141" s="141" t="s">
        <v>1213</v>
      </c>
      <c r="B141" s="157" t="s">
        <v>1214</v>
      </c>
      <c r="C141" s="143" t="s">
        <v>930</v>
      </c>
      <c r="D141" s="143" t="s">
        <v>930</v>
      </c>
      <c r="E141" s="144" t="s">
        <v>1020</v>
      </c>
      <c r="F141" s="145">
        <f>3765+1310</f>
        <v>5075</v>
      </c>
      <c r="G141" s="146">
        <f>2835+27+1325</f>
        <v>4187</v>
      </c>
      <c r="H141" s="146">
        <v>66</v>
      </c>
      <c r="I141" s="201"/>
      <c r="J141" s="147">
        <v>0</v>
      </c>
      <c r="K141" s="146">
        <v>0</v>
      </c>
      <c r="L141" s="146">
        <v>0</v>
      </c>
      <c r="M141" s="146">
        <v>0</v>
      </c>
      <c r="N141" s="146">
        <v>0</v>
      </c>
      <c r="O141" s="146">
        <v>0</v>
      </c>
      <c r="P141" s="204"/>
      <c r="Q141" s="204"/>
      <c r="R141" s="204"/>
      <c r="S141" s="204"/>
      <c r="T141" s="204"/>
      <c r="U141" s="204"/>
      <c r="V141" s="204"/>
      <c r="W141" s="204"/>
      <c r="X141" s="204"/>
      <c r="Y141" s="204"/>
      <c r="Z141" s="204"/>
      <c r="AA141" s="204"/>
      <c r="AB141" s="204"/>
      <c r="AC141" s="204"/>
      <c r="AD141" s="204"/>
      <c r="AE141" s="204"/>
      <c r="AF141" s="148" t="s">
        <v>1173</v>
      </c>
      <c r="AG141" s="148" t="s">
        <v>960</v>
      </c>
    </row>
    <row r="142" spans="1:33" ht="24.95" customHeight="1" x14ac:dyDescent="0.2">
      <c r="A142" s="141" t="s">
        <v>1215</v>
      </c>
      <c r="B142" s="157" t="s">
        <v>1216</v>
      </c>
      <c r="C142" s="143" t="s">
        <v>930</v>
      </c>
      <c r="D142" s="143" t="s">
        <v>930</v>
      </c>
      <c r="E142" s="144" t="s">
        <v>975</v>
      </c>
      <c r="F142" s="145">
        <f>5680+2930</f>
        <v>8610</v>
      </c>
      <c r="G142" s="146">
        <v>9050</v>
      </c>
      <c r="H142" s="146">
        <v>79</v>
      </c>
      <c r="I142" s="201"/>
      <c r="J142" s="147">
        <v>8711</v>
      </c>
      <c r="K142" s="146">
        <v>9525</v>
      </c>
      <c r="L142" s="146">
        <v>74</v>
      </c>
      <c r="M142" s="146">
        <v>5757</v>
      </c>
      <c r="N142" s="146">
        <v>0</v>
      </c>
      <c r="O142" s="146">
        <v>5270</v>
      </c>
      <c r="P142" s="204"/>
      <c r="Q142" s="204"/>
      <c r="R142" s="204"/>
      <c r="S142" s="204"/>
      <c r="T142" s="204"/>
      <c r="U142" s="204"/>
      <c r="V142" s="204"/>
      <c r="W142" s="204"/>
      <c r="X142" s="204"/>
      <c r="Y142" s="204"/>
      <c r="Z142" s="204"/>
      <c r="AA142" s="204"/>
      <c r="AB142" s="204"/>
      <c r="AC142" s="204"/>
      <c r="AD142" s="204"/>
      <c r="AE142" s="204"/>
      <c r="AF142" s="148" t="s">
        <v>926</v>
      </c>
      <c r="AG142" s="148" t="s">
        <v>960</v>
      </c>
    </row>
    <row r="143" spans="1:33" ht="24.95" customHeight="1" x14ac:dyDescent="0.2">
      <c r="A143" s="141" t="s">
        <v>1217</v>
      </c>
      <c r="B143" s="157" t="s">
        <v>1218</v>
      </c>
      <c r="C143" s="143" t="s">
        <v>930</v>
      </c>
      <c r="D143" s="143" t="s">
        <v>930</v>
      </c>
      <c r="E143" s="144" t="s">
        <v>1020</v>
      </c>
      <c r="F143" s="145">
        <v>5010</v>
      </c>
      <c r="G143" s="146">
        <f>5+410+1740+4990+1</f>
        <v>7146</v>
      </c>
      <c r="H143" s="146">
        <v>85</v>
      </c>
      <c r="I143" s="201"/>
      <c r="J143" s="147">
        <v>0</v>
      </c>
      <c r="K143" s="146">
        <v>0</v>
      </c>
      <c r="L143" s="146">
        <v>0</v>
      </c>
      <c r="M143" s="146">
        <v>0</v>
      </c>
      <c r="N143" s="146">
        <v>0</v>
      </c>
      <c r="O143" s="146">
        <v>0</v>
      </c>
      <c r="P143" s="204"/>
      <c r="Q143" s="204"/>
      <c r="R143" s="204"/>
      <c r="S143" s="204"/>
      <c r="T143" s="204"/>
      <c r="U143" s="204"/>
      <c r="V143" s="204"/>
      <c r="W143" s="204"/>
      <c r="X143" s="204"/>
      <c r="Y143" s="204"/>
      <c r="Z143" s="204"/>
      <c r="AA143" s="204"/>
      <c r="AB143" s="204"/>
      <c r="AC143" s="204"/>
      <c r="AD143" s="204"/>
      <c r="AE143" s="204"/>
      <c r="AF143" s="148" t="s">
        <v>926</v>
      </c>
      <c r="AG143" s="148" t="s">
        <v>960</v>
      </c>
    </row>
    <row r="144" spans="1:33" ht="24.95" customHeight="1" x14ac:dyDescent="0.2">
      <c r="A144" s="141" t="s">
        <v>493</v>
      </c>
      <c r="B144" s="157" t="s">
        <v>1219</v>
      </c>
      <c r="C144" s="143" t="s">
        <v>947</v>
      </c>
      <c r="D144" s="143" t="s">
        <v>947</v>
      </c>
      <c r="E144" s="144" t="s">
        <v>1066</v>
      </c>
      <c r="F144" s="145">
        <f>850+12870</f>
        <v>13720</v>
      </c>
      <c r="G144" s="146">
        <f>20+230+290+1645+6055+31+1</f>
        <v>8272</v>
      </c>
      <c r="H144" s="146">
        <v>5265</v>
      </c>
      <c r="I144" s="201"/>
      <c r="J144" s="147">
        <v>0</v>
      </c>
      <c r="K144" s="146">
        <v>0</v>
      </c>
      <c r="L144" s="146">
        <v>0</v>
      </c>
      <c r="M144" s="146">
        <v>0</v>
      </c>
      <c r="N144" s="146">
        <v>0</v>
      </c>
      <c r="O144" s="146">
        <v>0</v>
      </c>
      <c r="P144" s="204"/>
      <c r="Q144" s="204"/>
      <c r="R144" s="204"/>
      <c r="S144" s="204"/>
      <c r="T144" s="204"/>
      <c r="U144" s="204"/>
      <c r="V144" s="204"/>
      <c r="W144" s="204"/>
      <c r="X144" s="204"/>
      <c r="Y144" s="204"/>
      <c r="Z144" s="204"/>
      <c r="AA144" s="204"/>
      <c r="AB144" s="204"/>
      <c r="AC144" s="204"/>
      <c r="AD144" s="204"/>
      <c r="AE144" s="204"/>
      <c r="AF144" s="148" t="s">
        <v>1193</v>
      </c>
      <c r="AG144" s="148" t="s">
        <v>960</v>
      </c>
    </row>
    <row r="145" spans="1:33" ht="24.95" customHeight="1" x14ac:dyDescent="0.2">
      <c r="A145" s="141" t="s">
        <v>497</v>
      </c>
      <c r="B145" s="157" t="s">
        <v>1220</v>
      </c>
      <c r="C145" s="143" t="s">
        <v>947</v>
      </c>
      <c r="D145" s="143" t="s">
        <v>947</v>
      </c>
      <c r="E145" s="144" t="s">
        <v>1066</v>
      </c>
      <c r="F145" s="145">
        <f>1330+3205</f>
        <v>4535</v>
      </c>
      <c r="G145" s="146">
        <f>440+5914</f>
        <v>6354</v>
      </c>
      <c r="H145" s="146">
        <v>6395</v>
      </c>
      <c r="I145" s="201"/>
      <c r="J145" s="147">
        <v>0</v>
      </c>
      <c r="K145" s="146">
        <v>0</v>
      </c>
      <c r="L145" s="146">
        <v>0</v>
      </c>
      <c r="M145" s="146">
        <v>0</v>
      </c>
      <c r="N145" s="146">
        <v>0</v>
      </c>
      <c r="O145" s="146">
        <v>0</v>
      </c>
      <c r="P145" s="204"/>
      <c r="Q145" s="204"/>
      <c r="R145" s="204"/>
      <c r="S145" s="204"/>
      <c r="T145" s="204"/>
      <c r="U145" s="204"/>
      <c r="V145" s="204"/>
      <c r="W145" s="204"/>
      <c r="X145" s="204"/>
      <c r="Y145" s="204"/>
      <c r="Z145" s="204"/>
      <c r="AA145" s="204"/>
      <c r="AB145" s="204"/>
      <c r="AC145" s="204"/>
      <c r="AD145" s="204"/>
      <c r="AE145" s="204"/>
      <c r="AF145" s="148" t="s">
        <v>1193</v>
      </c>
      <c r="AG145" s="148" t="s">
        <v>960</v>
      </c>
    </row>
    <row r="146" spans="1:33" ht="24.95" customHeight="1" x14ac:dyDescent="0.2">
      <c r="A146" s="141" t="s">
        <v>1221</v>
      </c>
      <c r="B146" s="157" t="s">
        <v>1222</v>
      </c>
      <c r="C146" s="143" t="s">
        <v>947</v>
      </c>
      <c r="D146" s="143" t="s">
        <v>947</v>
      </c>
      <c r="E146" s="144" t="s">
        <v>1066</v>
      </c>
      <c r="F146" s="145">
        <f>4285+1745</f>
        <v>6030</v>
      </c>
      <c r="G146" s="146">
        <v>6330</v>
      </c>
      <c r="H146" s="146">
        <v>155</v>
      </c>
      <c r="I146" s="201"/>
      <c r="J146" s="147">
        <v>6271</v>
      </c>
      <c r="K146" s="146">
        <v>6350</v>
      </c>
      <c r="L146" s="146">
        <v>158</v>
      </c>
      <c r="M146" s="146">
        <v>9621</v>
      </c>
      <c r="N146" s="146">
        <v>0</v>
      </c>
      <c r="O146" s="146">
        <v>8870</v>
      </c>
      <c r="P146" s="204"/>
      <c r="Q146" s="204"/>
      <c r="R146" s="204"/>
      <c r="S146" s="204"/>
      <c r="T146" s="204"/>
      <c r="U146" s="204"/>
      <c r="V146" s="204"/>
      <c r="W146" s="204"/>
      <c r="X146" s="204"/>
      <c r="Y146" s="204"/>
      <c r="Z146" s="204"/>
      <c r="AA146" s="204"/>
      <c r="AB146" s="204"/>
      <c r="AC146" s="204"/>
      <c r="AD146" s="204"/>
      <c r="AE146" s="204"/>
      <c r="AF146" s="148" t="s">
        <v>926</v>
      </c>
      <c r="AG146" s="148" t="s">
        <v>960</v>
      </c>
    </row>
    <row r="147" spans="1:33" ht="24.95" customHeight="1" x14ac:dyDescent="0.2">
      <c r="A147" s="141" t="s">
        <v>1223</v>
      </c>
      <c r="B147" s="157" t="s">
        <v>1224</v>
      </c>
      <c r="C147" s="143" t="s">
        <v>947</v>
      </c>
      <c r="D147" s="143" t="s">
        <v>947</v>
      </c>
      <c r="E147" s="144" t="s">
        <v>1066</v>
      </c>
      <c r="F147" s="145">
        <f>5090+2600</f>
        <v>7690</v>
      </c>
      <c r="G147" s="146">
        <v>7825</v>
      </c>
      <c r="H147" s="146">
        <v>158</v>
      </c>
      <c r="I147" s="201"/>
      <c r="J147" s="147">
        <v>7513</v>
      </c>
      <c r="K147" s="146">
        <v>7825</v>
      </c>
      <c r="L147" s="146">
        <v>160</v>
      </c>
      <c r="M147" s="146">
        <v>11477</v>
      </c>
      <c r="N147" s="146">
        <v>0</v>
      </c>
      <c r="O147" s="146">
        <v>11274</v>
      </c>
      <c r="P147" s="204"/>
      <c r="Q147" s="204"/>
      <c r="R147" s="204"/>
      <c r="S147" s="204"/>
      <c r="T147" s="204"/>
      <c r="U147" s="204"/>
      <c r="V147" s="204"/>
      <c r="W147" s="204"/>
      <c r="X147" s="204"/>
      <c r="Y147" s="204"/>
      <c r="Z147" s="204"/>
      <c r="AA147" s="204"/>
      <c r="AB147" s="204"/>
      <c r="AC147" s="204"/>
      <c r="AD147" s="204"/>
      <c r="AE147" s="204"/>
      <c r="AF147" s="148" t="s">
        <v>926</v>
      </c>
      <c r="AG147" s="148" t="s">
        <v>960</v>
      </c>
    </row>
    <row r="148" spans="1:33" ht="24.95" customHeight="1" x14ac:dyDescent="0.2">
      <c r="A148" s="141" t="s">
        <v>1225</v>
      </c>
      <c r="B148" s="157" t="s">
        <v>1226</v>
      </c>
      <c r="C148" s="143" t="s">
        <v>947</v>
      </c>
      <c r="D148" s="143" t="s">
        <v>947</v>
      </c>
      <c r="E148" s="144" t="s">
        <v>1066</v>
      </c>
      <c r="F148" s="145">
        <v>4906</v>
      </c>
      <c r="G148" s="146">
        <f>222+160+3643</f>
        <v>4025</v>
      </c>
      <c r="H148" s="146">
        <f>80+20</f>
        <v>100</v>
      </c>
      <c r="I148" s="201"/>
      <c r="J148" s="147">
        <v>0</v>
      </c>
      <c r="K148" s="146">
        <v>0</v>
      </c>
      <c r="L148" s="146">
        <v>0</v>
      </c>
      <c r="M148" s="146">
        <v>0</v>
      </c>
      <c r="N148" s="146">
        <v>0</v>
      </c>
      <c r="O148" s="146">
        <v>0</v>
      </c>
      <c r="P148" s="204"/>
      <c r="Q148" s="204"/>
      <c r="R148" s="204"/>
      <c r="S148" s="204"/>
      <c r="T148" s="204"/>
      <c r="U148" s="204"/>
      <c r="V148" s="204"/>
      <c r="W148" s="204"/>
      <c r="X148" s="204"/>
      <c r="Y148" s="204"/>
      <c r="Z148" s="204"/>
      <c r="AA148" s="204"/>
      <c r="AB148" s="204"/>
      <c r="AC148" s="204"/>
      <c r="AD148" s="204"/>
      <c r="AE148" s="204"/>
      <c r="AF148" s="148" t="s">
        <v>926</v>
      </c>
      <c r="AG148" s="148" t="s">
        <v>927</v>
      </c>
    </row>
    <row r="149" spans="1:33" ht="24.95" customHeight="1" x14ac:dyDescent="0.2">
      <c r="A149" s="141" t="s">
        <v>1227</v>
      </c>
      <c r="B149" s="157" t="s">
        <v>1228</v>
      </c>
      <c r="C149" s="143" t="s">
        <v>947</v>
      </c>
      <c r="D149" s="143" t="s">
        <v>947</v>
      </c>
      <c r="E149" s="144" t="s">
        <v>1066</v>
      </c>
      <c r="F149" s="145">
        <f>272+395+6278</f>
        <v>6945</v>
      </c>
      <c r="G149" s="146">
        <f>64+653+6605</f>
        <v>7322</v>
      </c>
      <c r="H149" s="146">
        <f>59+188</f>
        <v>247</v>
      </c>
      <c r="I149" s="201"/>
      <c r="J149" s="147">
        <v>0</v>
      </c>
      <c r="K149" s="146">
        <v>0</v>
      </c>
      <c r="L149" s="146">
        <v>0</v>
      </c>
      <c r="M149" s="146">
        <v>0</v>
      </c>
      <c r="N149" s="146">
        <v>0</v>
      </c>
      <c r="O149" s="146">
        <v>0</v>
      </c>
      <c r="P149" s="204"/>
      <c r="Q149" s="204"/>
      <c r="R149" s="204"/>
      <c r="S149" s="204"/>
      <c r="T149" s="204"/>
      <c r="U149" s="204"/>
      <c r="V149" s="204"/>
      <c r="W149" s="204"/>
      <c r="X149" s="204"/>
      <c r="Y149" s="204"/>
      <c r="Z149" s="204"/>
      <c r="AA149" s="204"/>
      <c r="AB149" s="204"/>
      <c r="AC149" s="204"/>
      <c r="AD149" s="204"/>
      <c r="AE149" s="204"/>
      <c r="AF149" s="148" t="s">
        <v>1173</v>
      </c>
      <c r="AG149" s="148" t="s">
        <v>927</v>
      </c>
    </row>
    <row r="150" spans="1:33" ht="24.95" customHeight="1" x14ac:dyDescent="0.2">
      <c r="A150" s="141" t="s">
        <v>1229</v>
      </c>
      <c r="B150" s="157" t="s">
        <v>1230</v>
      </c>
      <c r="C150" s="143" t="s">
        <v>947</v>
      </c>
      <c r="D150" s="143" t="s">
        <v>947</v>
      </c>
      <c r="E150" s="144" t="s">
        <v>948</v>
      </c>
      <c r="F150" s="145">
        <v>5332</v>
      </c>
      <c r="G150" s="146">
        <v>4957</v>
      </c>
      <c r="H150" s="146">
        <v>163</v>
      </c>
      <c r="I150" s="201"/>
      <c r="J150" s="147">
        <v>5034</v>
      </c>
      <c r="K150" s="146">
        <v>4957</v>
      </c>
      <c r="L150" s="146">
        <v>162</v>
      </c>
      <c r="M150" s="146">
        <v>0</v>
      </c>
      <c r="N150" s="146">
        <v>0</v>
      </c>
      <c r="O150" s="146">
        <v>0</v>
      </c>
      <c r="P150" s="204"/>
      <c r="Q150" s="204"/>
      <c r="R150" s="204"/>
      <c r="S150" s="204"/>
      <c r="T150" s="204"/>
      <c r="U150" s="204"/>
      <c r="V150" s="204"/>
      <c r="W150" s="204"/>
      <c r="X150" s="204"/>
      <c r="Y150" s="204"/>
      <c r="Z150" s="204"/>
      <c r="AA150" s="204"/>
      <c r="AB150" s="204"/>
      <c r="AC150" s="204"/>
      <c r="AD150" s="204"/>
      <c r="AE150" s="204"/>
      <c r="AF150" s="148" t="s">
        <v>926</v>
      </c>
      <c r="AG150" s="148" t="s">
        <v>960</v>
      </c>
    </row>
    <row r="151" spans="1:33" ht="24.95" customHeight="1" x14ac:dyDescent="0.2">
      <c r="A151" s="141" t="s">
        <v>1231</v>
      </c>
      <c r="B151" s="157" t="s">
        <v>1232</v>
      </c>
      <c r="C151" s="143" t="s">
        <v>947</v>
      </c>
      <c r="D151" s="143" t="s">
        <v>947</v>
      </c>
      <c r="E151" s="144" t="s">
        <v>1066</v>
      </c>
      <c r="F151" s="145">
        <v>1547</v>
      </c>
      <c r="G151" s="146">
        <v>3684</v>
      </c>
      <c r="H151" s="146">
        <f>8+33</f>
        <v>41</v>
      </c>
      <c r="I151" s="201"/>
      <c r="J151" s="147">
        <v>0</v>
      </c>
      <c r="K151" s="146">
        <v>0</v>
      </c>
      <c r="L151" s="146">
        <v>0</v>
      </c>
      <c r="M151" s="146">
        <v>0</v>
      </c>
      <c r="N151" s="146">
        <v>0</v>
      </c>
      <c r="O151" s="146">
        <v>0</v>
      </c>
      <c r="P151" s="204"/>
      <c r="Q151" s="204"/>
      <c r="R151" s="204"/>
      <c r="S151" s="204"/>
      <c r="T151" s="204"/>
      <c r="U151" s="204"/>
      <c r="V151" s="204"/>
      <c r="W151" s="204"/>
      <c r="X151" s="204"/>
      <c r="Y151" s="204"/>
      <c r="Z151" s="204"/>
      <c r="AA151" s="204"/>
      <c r="AB151" s="204"/>
      <c r="AC151" s="204"/>
      <c r="AD151" s="204"/>
      <c r="AE151" s="204"/>
      <c r="AF151" s="148" t="s">
        <v>1073</v>
      </c>
      <c r="AG151" s="148" t="s">
        <v>927</v>
      </c>
    </row>
    <row r="152" spans="1:33" ht="24.95" customHeight="1" x14ac:dyDescent="0.2">
      <c r="A152" s="141" t="s">
        <v>1233</v>
      </c>
      <c r="B152" s="157" t="s">
        <v>1234</v>
      </c>
      <c r="C152" s="143" t="s">
        <v>947</v>
      </c>
      <c r="D152" s="143" t="s">
        <v>947</v>
      </c>
      <c r="E152" s="144" t="s">
        <v>1066</v>
      </c>
      <c r="F152" s="145">
        <f>3091+1355</f>
        <v>4446</v>
      </c>
      <c r="G152" s="146">
        <f>71+181+2102+690</f>
        <v>3044</v>
      </c>
      <c r="H152" s="146">
        <v>66</v>
      </c>
      <c r="I152" s="201"/>
      <c r="J152" s="147">
        <v>0</v>
      </c>
      <c r="K152" s="146">
        <v>0</v>
      </c>
      <c r="L152" s="146">
        <v>0</v>
      </c>
      <c r="M152" s="146">
        <v>0</v>
      </c>
      <c r="N152" s="146">
        <v>0</v>
      </c>
      <c r="O152" s="146">
        <v>0</v>
      </c>
      <c r="P152" s="204"/>
      <c r="Q152" s="204"/>
      <c r="R152" s="204"/>
      <c r="S152" s="204"/>
      <c r="T152" s="204"/>
      <c r="U152" s="204"/>
      <c r="V152" s="204"/>
      <c r="W152" s="204"/>
      <c r="X152" s="204"/>
      <c r="Y152" s="204"/>
      <c r="Z152" s="204"/>
      <c r="AA152" s="204"/>
      <c r="AB152" s="204"/>
      <c r="AC152" s="204"/>
      <c r="AD152" s="204"/>
      <c r="AE152" s="204"/>
      <c r="AF152" s="148" t="s">
        <v>1073</v>
      </c>
      <c r="AG152" s="148" t="s">
        <v>927</v>
      </c>
    </row>
    <row r="153" spans="1:33" ht="24.95" customHeight="1" x14ac:dyDescent="0.2">
      <c r="A153" s="141" t="s">
        <v>1235</v>
      </c>
      <c r="B153" s="157" t="s">
        <v>1236</v>
      </c>
      <c r="C153" s="143" t="s">
        <v>947</v>
      </c>
      <c r="D153" s="143" t="s">
        <v>947</v>
      </c>
      <c r="E153" s="144" t="s">
        <v>1237</v>
      </c>
      <c r="F153" s="145">
        <f>3219+914</f>
        <v>4133</v>
      </c>
      <c r="G153" s="146">
        <f>4+95+1397+2910+445</f>
        <v>4851</v>
      </c>
      <c r="H153" s="146">
        <v>81</v>
      </c>
      <c r="I153" s="201"/>
      <c r="J153" s="147">
        <v>0</v>
      </c>
      <c r="K153" s="146">
        <v>0</v>
      </c>
      <c r="L153" s="146">
        <v>0</v>
      </c>
      <c r="M153" s="146">
        <v>0</v>
      </c>
      <c r="N153" s="146">
        <v>0</v>
      </c>
      <c r="O153" s="146">
        <v>0</v>
      </c>
      <c r="P153" s="204"/>
      <c r="Q153" s="204"/>
      <c r="R153" s="204"/>
      <c r="S153" s="204"/>
      <c r="T153" s="204"/>
      <c r="U153" s="204"/>
      <c r="V153" s="204"/>
      <c r="W153" s="204"/>
      <c r="X153" s="204"/>
      <c r="Y153" s="204"/>
      <c r="Z153" s="204"/>
      <c r="AA153" s="204"/>
      <c r="AB153" s="204"/>
      <c r="AC153" s="204"/>
      <c r="AD153" s="204"/>
      <c r="AE153" s="204"/>
      <c r="AF153" s="148" t="s">
        <v>1073</v>
      </c>
      <c r="AG153" s="148" t="s">
        <v>960</v>
      </c>
    </row>
    <row r="154" spans="1:33" ht="24.95" customHeight="1" x14ac:dyDescent="0.2">
      <c r="A154" s="141" t="s">
        <v>517</v>
      </c>
      <c r="B154" s="157" t="s">
        <v>1238</v>
      </c>
      <c r="C154" s="143" t="s">
        <v>947</v>
      </c>
      <c r="D154" s="143" t="s">
        <v>947</v>
      </c>
      <c r="E154" s="144" t="s">
        <v>1066</v>
      </c>
      <c r="F154" s="145">
        <f>90+4123</f>
        <v>4213</v>
      </c>
      <c r="G154" s="146">
        <f>214+1231+1+1295+2017+15+2</f>
        <v>4775</v>
      </c>
      <c r="H154" s="146">
        <f>13+57</f>
        <v>70</v>
      </c>
      <c r="I154" s="201"/>
      <c r="J154" s="147">
        <v>0</v>
      </c>
      <c r="K154" s="146">
        <v>0</v>
      </c>
      <c r="L154" s="146">
        <v>0</v>
      </c>
      <c r="M154" s="146">
        <v>0</v>
      </c>
      <c r="N154" s="146">
        <v>0</v>
      </c>
      <c r="O154" s="146">
        <v>0</v>
      </c>
      <c r="P154" s="204"/>
      <c r="Q154" s="204"/>
      <c r="R154" s="204"/>
      <c r="S154" s="204"/>
      <c r="T154" s="204"/>
      <c r="U154" s="204"/>
      <c r="V154" s="204"/>
      <c r="W154" s="204"/>
      <c r="X154" s="204"/>
      <c r="Y154" s="204"/>
      <c r="Z154" s="204"/>
      <c r="AA154" s="204"/>
      <c r="AB154" s="204"/>
      <c r="AC154" s="204"/>
      <c r="AD154" s="204"/>
      <c r="AE154" s="204"/>
      <c r="AF154" s="148" t="s">
        <v>1193</v>
      </c>
      <c r="AG154" s="148" t="s">
        <v>927</v>
      </c>
    </row>
    <row r="155" spans="1:33" ht="24.95" customHeight="1" x14ac:dyDescent="0.2">
      <c r="A155" s="141" t="s">
        <v>1239</v>
      </c>
      <c r="B155" s="157" t="s">
        <v>1240</v>
      </c>
      <c r="C155" s="143" t="s">
        <v>947</v>
      </c>
      <c r="D155" s="143" t="s">
        <v>947</v>
      </c>
      <c r="E155" s="144" t="s">
        <v>951</v>
      </c>
      <c r="F155" s="145">
        <v>5283</v>
      </c>
      <c r="G155" s="146">
        <f>910+4446</f>
        <v>5356</v>
      </c>
      <c r="H155" s="146">
        <v>107</v>
      </c>
      <c r="I155" s="201"/>
      <c r="J155" s="147">
        <v>0</v>
      </c>
      <c r="K155" s="146">
        <v>0</v>
      </c>
      <c r="L155" s="146">
        <v>0</v>
      </c>
      <c r="M155" s="146">
        <v>0</v>
      </c>
      <c r="N155" s="146">
        <v>0</v>
      </c>
      <c r="O155" s="146">
        <v>0</v>
      </c>
      <c r="P155" s="204"/>
      <c r="Q155" s="204"/>
      <c r="R155" s="204"/>
      <c r="S155" s="204"/>
      <c r="T155" s="204"/>
      <c r="U155" s="204"/>
      <c r="V155" s="204"/>
      <c r="W155" s="204"/>
      <c r="X155" s="204"/>
      <c r="Y155" s="204"/>
      <c r="Z155" s="204"/>
      <c r="AA155" s="204"/>
      <c r="AB155" s="204"/>
      <c r="AC155" s="204"/>
      <c r="AD155" s="204"/>
      <c r="AE155" s="204"/>
      <c r="AF155" s="148" t="s">
        <v>1073</v>
      </c>
      <c r="AG155" s="148" t="s">
        <v>927</v>
      </c>
    </row>
    <row r="156" spans="1:33" ht="24.95" customHeight="1" x14ac:dyDescent="0.2">
      <c r="A156" s="141" t="s">
        <v>1241</v>
      </c>
      <c r="B156" s="157" t="s">
        <v>1242</v>
      </c>
      <c r="C156" s="143" t="s">
        <v>947</v>
      </c>
      <c r="D156" s="143" t="s">
        <v>947</v>
      </c>
      <c r="E156" s="144" t="s">
        <v>1066</v>
      </c>
      <c r="F156" s="145">
        <v>4184</v>
      </c>
      <c r="G156" s="146">
        <v>2685</v>
      </c>
      <c r="H156" s="146">
        <v>70</v>
      </c>
      <c r="I156" s="201"/>
      <c r="J156" s="147">
        <v>0</v>
      </c>
      <c r="K156" s="146">
        <v>0</v>
      </c>
      <c r="L156" s="146">
        <v>0</v>
      </c>
      <c r="M156" s="146">
        <v>0</v>
      </c>
      <c r="N156" s="146">
        <v>0</v>
      </c>
      <c r="O156" s="146">
        <v>0</v>
      </c>
      <c r="P156" s="204"/>
      <c r="Q156" s="204"/>
      <c r="R156" s="204"/>
      <c r="S156" s="204"/>
      <c r="T156" s="204"/>
      <c r="U156" s="204"/>
      <c r="V156" s="204"/>
      <c r="W156" s="204"/>
      <c r="X156" s="204"/>
      <c r="Y156" s="204"/>
      <c r="Z156" s="204"/>
      <c r="AA156" s="204"/>
      <c r="AB156" s="204"/>
      <c r="AC156" s="204"/>
      <c r="AD156" s="204"/>
      <c r="AE156" s="204"/>
      <c r="AF156" s="148" t="s">
        <v>1173</v>
      </c>
      <c r="AG156" s="148" t="s">
        <v>927</v>
      </c>
    </row>
    <row r="157" spans="1:33" ht="24.95" customHeight="1" x14ac:dyDescent="0.2">
      <c r="A157" s="141" t="s">
        <v>1243</v>
      </c>
      <c r="B157" s="157" t="s">
        <v>1244</v>
      </c>
      <c r="C157" s="143" t="s">
        <v>947</v>
      </c>
      <c r="D157" s="143" t="s">
        <v>947</v>
      </c>
      <c r="E157" s="144" t="s">
        <v>1066</v>
      </c>
      <c r="F157" s="145">
        <f>5371+990</f>
        <v>6361</v>
      </c>
      <c r="G157" s="146">
        <f>319+341+4473</f>
        <v>5133</v>
      </c>
      <c r="H157" s="146">
        <v>94</v>
      </c>
      <c r="I157" s="201"/>
      <c r="J157" s="147">
        <v>0</v>
      </c>
      <c r="K157" s="146">
        <v>0</v>
      </c>
      <c r="L157" s="146">
        <v>0</v>
      </c>
      <c r="M157" s="146">
        <v>0</v>
      </c>
      <c r="N157" s="146">
        <v>0</v>
      </c>
      <c r="O157" s="146">
        <v>0</v>
      </c>
      <c r="P157" s="204"/>
      <c r="Q157" s="204"/>
      <c r="R157" s="204"/>
      <c r="S157" s="204"/>
      <c r="T157" s="204"/>
      <c r="U157" s="204"/>
      <c r="V157" s="204"/>
      <c r="W157" s="204"/>
      <c r="X157" s="204"/>
      <c r="Y157" s="204"/>
      <c r="Z157" s="204"/>
      <c r="AA157" s="204"/>
      <c r="AB157" s="204"/>
      <c r="AC157" s="204"/>
      <c r="AD157" s="204"/>
      <c r="AE157" s="204"/>
      <c r="AF157" s="148" t="s">
        <v>1198</v>
      </c>
      <c r="AG157" s="148" t="s">
        <v>927</v>
      </c>
    </row>
    <row r="158" spans="1:33" ht="24.95" customHeight="1" x14ac:dyDescent="0.2">
      <c r="A158" s="141" t="s">
        <v>1245</v>
      </c>
      <c r="B158" s="157" t="s">
        <v>1246</v>
      </c>
      <c r="C158" s="143" t="s">
        <v>947</v>
      </c>
      <c r="D158" s="143" t="s">
        <v>947</v>
      </c>
      <c r="E158" s="144" t="s">
        <v>948</v>
      </c>
      <c r="F158" s="145">
        <v>4099</v>
      </c>
      <c r="G158" s="146">
        <v>4354</v>
      </c>
      <c r="H158" s="146">
        <v>94</v>
      </c>
      <c r="I158" s="201"/>
      <c r="J158" s="147">
        <v>4104</v>
      </c>
      <c r="K158" s="146">
        <v>4262</v>
      </c>
      <c r="L158" s="146">
        <v>0</v>
      </c>
      <c r="M158" s="146">
        <v>0</v>
      </c>
      <c r="N158" s="146">
        <v>3</v>
      </c>
      <c r="O158" s="146">
        <v>0</v>
      </c>
      <c r="P158" s="204"/>
      <c r="Q158" s="204"/>
      <c r="R158" s="204"/>
      <c r="S158" s="204"/>
      <c r="T158" s="204"/>
      <c r="U158" s="204"/>
      <c r="V158" s="204"/>
      <c r="W158" s="204"/>
      <c r="X158" s="204"/>
      <c r="Y158" s="204"/>
      <c r="Z158" s="204"/>
      <c r="AA158" s="204"/>
      <c r="AB158" s="204"/>
      <c r="AC158" s="204"/>
      <c r="AD158" s="204"/>
      <c r="AE158" s="204"/>
      <c r="AF158" s="148" t="s">
        <v>926</v>
      </c>
      <c r="AG158" s="148" t="s">
        <v>960</v>
      </c>
    </row>
    <row r="159" spans="1:33" ht="24.95" customHeight="1" x14ac:dyDescent="0.2">
      <c r="A159" s="141" t="s">
        <v>1247</v>
      </c>
      <c r="B159" s="157" t="s">
        <v>1248</v>
      </c>
      <c r="C159" s="143" t="s">
        <v>947</v>
      </c>
      <c r="D159" s="143" t="s">
        <v>947</v>
      </c>
      <c r="E159" s="144" t="s">
        <v>1066</v>
      </c>
      <c r="F159" s="145">
        <f>3065+1140</f>
        <v>4205</v>
      </c>
      <c r="G159" s="146">
        <f>73+1866</f>
        <v>1939</v>
      </c>
      <c r="H159" s="146">
        <v>48</v>
      </c>
      <c r="I159" s="201"/>
      <c r="J159" s="147">
        <v>0</v>
      </c>
      <c r="K159" s="146">
        <v>0</v>
      </c>
      <c r="L159" s="146">
        <v>0</v>
      </c>
      <c r="M159" s="146">
        <v>0</v>
      </c>
      <c r="N159" s="146">
        <v>0</v>
      </c>
      <c r="O159" s="146">
        <v>0</v>
      </c>
      <c r="P159" s="204"/>
      <c r="Q159" s="204"/>
      <c r="R159" s="204"/>
      <c r="S159" s="204"/>
      <c r="T159" s="204"/>
      <c r="U159" s="204"/>
      <c r="V159" s="204"/>
      <c r="W159" s="204"/>
      <c r="X159" s="204"/>
      <c r="Y159" s="204"/>
      <c r="Z159" s="204"/>
      <c r="AA159" s="204"/>
      <c r="AB159" s="204"/>
      <c r="AC159" s="204"/>
      <c r="AD159" s="204"/>
      <c r="AE159" s="204"/>
      <c r="AF159" s="148" t="s">
        <v>1173</v>
      </c>
      <c r="AG159" s="148" t="s">
        <v>927</v>
      </c>
    </row>
    <row r="160" spans="1:33" ht="24.95" customHeight="1" x14ac:dyDescent="0.2">
      <c r="A160" s="141" t="s">
        <v>1249</v>
      </c>
      <c r="B160" s="157" t="s">
        <v>1250</v>
      </c>
      <c r="C160" s="143" t="s">
        <v>947</v>
      </c>
      <c r="D160" s="143" t="s">
        <v>947</v>
      </c>
      <c r="E160" s="144" t="s">
        <v>1066</v>
      </c>
      <c r="F160" s="145">
        <f>4741+1873</f>
        <v>6614</v>
      </c>
      <c r="G160" s="146">
        <f>459+736+1781+2199+3302</f>
        <v>8477</v>
      </c>
      <c r="H160" s="146">
        <f>22+33</f>
        <v>55</v>
      </c>
      <c r="I160" s="201"/>
      <c r="J160" s="147">
        <v>0</v>
      </c>
      <c r="K160" s="146">
        <v>0</v>
      </c>
      <c r="L160" s="146">
        <v>0</v>
      </c>
      <c r="M160" s="146">
        <v>0</v>
      </c>
      <c r="N160" s="146">
        <v>0</v>
      </c>
      <c r="O160" s="146">
        <v>0</v>
      </c>
      <c r="P160" s="204"/>
      <c r="Q160" s="204"/>
      <c r="R160" s="204"/>
      <c r="S160" s="204"/>
      <c r="T160" s="204"/>
      <c r="U160" s="204"/>
      <c r="V160" s="204"/>
      <c r="W160" s="204"/>
      <c r="X160" s="204"/>
      <c r="Y160" s="204"/>
      <c r="Z160" s="204"/>
      <c r="AA160" s="204"/>
      <c r="AB160" s="204"/>
      <c r="AC160" s="204"/>
      <c r="AD160" s="204"/>
      <c r="AE160" s="204"/>
      <c r="AF160" s="148" t="s">
        <v>1073</v>
      </c>
      <c r="AG160" s="148" t="s">
        <v>927</v>
      </c>
    </row>
    <row r="161" spans="1:33" ht="24.95" customHeight="1" x14ac:dyDescent="0.2">
      <c r="A161" s="141" t="s">
        <v>1251</v>
      </c>
      <c r="B161" s="157" t="s">
        <v>1252</v>
      </c>
      <c r="C161" s="143" t="s">
        <v>947</v>
      </c>
      <c r="D161" s="143" t="s">
        <v>947</v>
      </c>
      <c r="E161" s="144" t="s">
        <v>1066</v>
      </c>
      <c r="F161" s="145">
        <v>2972</v>
      </c>
      <c r="G161" s="146">
        <f>10+119+690+1017+2602+1</f>
        <v>4439</v>
      </c>
      <c r="H161" s="146">
        <v>9</v>
      </c>
      <c r="I161" s="201"/>
      <c r="J161" s="147">
        <v>0</v>
      </c>
      <c r="K161" s="146">
        <v>0</v>
      </c>
      <c r="L161" s="146">
        <v>0</v>
      </c>
      <c r="M161" s="146">
        <v>0</v>
      </c>
      <c r="N161" s="146">
        <v>0</v>
      </c>
      <c r="O161" s="146">
        <v>0</v>
      </c>
      <c r="P161" s="204"/>
      <c r="Q161" s="204"/>
      <c r="R161" s="204"/>
      <c r="S161" s="204"/>
      <c r="T161" s="204"/>
      <c r="U161" s="204"/>
      <c r="V161" s="204"/>
      <c r="W161" s="204"/>
      <c r="X161" s="204"/>
      <c r="Y161" s="204"/>
      <c r="Z161" s="204"/>
      <c r="AA161" s="204"/>
      <c r="AB161" s="204"/>
      <c r="AC161" s="204"/>
      <c r="AD161" s="204"/>
      <c r="AE161" s="204"/>
      <c r="AF161" s="148" t="s">
        <v>926</v>
      </c>
      <c r="AG161" s="148" t="s">
        <v>927</v>
      </c>
    </row>
    <row r="162" spans="1:33" ht="24.95" customHeight="1" x14ac:dyDescent="0.2">
      <c r="A162" s="141" t="s">
        <v>1253</v>
      </c>
      <c r="B162" s="157" t="s">
        <v>1254</v>
      </c>
      <c r="C162" s="143" t="s">
        <v>947</v>
      </c>
      <c r="D162" s="143" t="s">
        <v>947</v>
      </c>
      <c r="E162" s="144" t="s">
        <v>1066</v>
      </c>
      <c r="F162" s="145">
        <f>2218+1195</f>
        <v>3413</v>
      </c>
      <c r="G162" s="146">
        <f>43+54+98+219+280+430+1815+101+54+3204</f>
        <v>6298</v>
      </c>
      <c r="H162" s="146">
        <f>23+28</f>
        <v>51</v>
      </c>
      <c r="I162" s="201"/>
      <c r="J162" s="147">
        <v>0</v>
      </c>
      <c r="K162" s="146">
        <v>0</v>
      </c>
      <c r="L162" s="146">
        <v>0</v>
      </c>
      <c r="M162" s="146">
        <v>0</v>
      </c>
      <c r="N162" s="146">
        <v>0</v>
      </c>
      <c r="O162" s="146">
        <v>0</v>
      </c>
      <c r="P162" s="204"/>
      <c r="Q162" s="204"/>
      <c r="R162" s="204"/>
      <c r="S162" s="204"/>
      <c r="T162" s="204"/>
      <c r="U162" s="204"/>
      <c r="V162" s="204"/>
      <c r="W162" s="204"/>
      <c r="X162" s="204"/>
      <c r="Y162" s="204"/>
      <c r="Z162" s="204"/>
      <c r="AA162" s="204"/>
      <c r="AB162" s="204"/>
      <c r="AC162" s="204"/>
      <c r="AD162" s="204"/>
      <c r="AE162" s="204"/>
      <c r="AF162" s="148" t="s">
        <v>1173</v>
      </c>
      <c r="AG162" s="148" t="s">
        <v>927</v>
      </c>
    </row>
    <row r="163" spans="1:33" ht="24.95" customHeight="1" x14ac:dyDescent="0.2">
      <c r="A163" s="141" t="s">
        <v>1255</v>
      </c>
      <c r="B163" s="157" t="s">
        <v>1256</v>
      </c>
      <c r="C163" s="143" t="s">
        <v>947</v>
      </c>
      <c r="D163" s="143" t="s">
        <v>947</v>
      </c>
      <c r="E163" s="144" t="s">
        <v>951</v>
      </c>
      <c r="F163" s="145">
        <v>4860</v>
      </c>
      <c r="G163" s="146">
        <f>45+1040+3813</f>
        <v>4898</v>
      </c>
      <c r="H163" s="146">
        <v>150</v>
      </c>
      <c r="I163" s="201"/>
      <c r="J163" s="147">
        <v>0</v>
      </c>
      <c r="K163" s="146">
        <v>0</v>
      </c>
      <c r="L163" s="146">
        <v>0</v>
      </c>
      <c r="M163" s="146">
        <v>0</v>
      </c>
      <c r="N163" s="146">
        <v>0</v>
      </c>
      <c r="O163" s="146">
        <v>0</v>
      </c>
      <c r="P163" s="204"/>
      <c r="Q163" s="204"/>
      <c r="R163" s="204"/>
      <c r="S163" s="204"/>
      <c r="T163" s="204"/>
      <c r="U163" s="204"/>
      <c r="V163" s="204"/>
      <c r="W163" s="204"/>
      <c r="X163" s="204"/>
      <c r="Y163" s="204"/>
      <c r="Z163" s="204"/>
      <c r="AA163" s="204"/>
      <c r="AB163" s="204"/>
      <c r="AC163" s="204"/>
      <c r="AD163" s="204"/>
      <c r="AE163" s="204"/>
      <c r="AF163" s="148" t="s">
        <v>1073</v>
      </c>
      <c r="AG163" s="148" t="s">
        <v>927</v>
      </c>
    </row>
    <row r="164" spans="1:33" ht="24.95" customHeight="1" x14ac:dyDescent="0.2">
      <c r="A164" s="141" t="s">
        <v>1257</v>
      </c>
      <c r="B164" s="157" t="s">
        <v>1258</v>
      </c>
      <c r="C164" s="143" t="s">
        <v>947</v>
      </c>
      <c r="D164" s="143" t="s">
        <v>947</v>
      </c>
      <c r="E164" s="144" t="s">
        <v>1066</v>
      </c>
      <c r="F164" s="145">
        <f>652+6578</f>
        <v>7230</v>
      </c>
      <c r="G164" s="146">
        <f>225+5060+23+1585+684</f>
        <v>7577</v>
      </c>
      <c r="H164" s="146">
        <v>163</v>
      </c>
      <c r="I164" s="201"/>
      <c r="J164" s="147">
        <v>0</v>
      </c>
      <c r="K164" s="146">
        <v>0</v>
      </c>
      <c r="L164" s="146">
        <v>0</v>
      </c>
      <c r="M164" s="146">
        <v>0</v>
      </c>
      <c r="N164" s="146">
        <v>0</v>
      </c>
      <c r="O164" s="146">
        <v>0</v>
      </c>
      <c r="P164" s="204"/>
      <c r="Q164" s="204"/>
      <c r="R164" s="204"/>
      <c r="S164" s="204"/>
      <c r="T164" s="204"/>
      <c r="U164" s="204"/>
      <c r="V164" s="204"/>
      <c r="W164" s="204"/>
      <c r="X164" s="204"/>
      <c r="Y164" s="204"/>
      <c r="Z164" s="204"/>
      <c r="AA164" s="204"/>
      <c r="AB164" s="204"/>
      <c r="AC164" s="204"/>
      <c r="AD164" s="204"/>
      <c r="AE164" s="204"/>
      <c r="AF164" s="148" t="s">
        <v>1073</v>
      </c>
      <c r="AG164" s="148" t="s">
        <v>927</v>
      </c>
    </row>
    <row r="165" spans="1:33" ht="24.95" customHeight="1" x14ac:dyDescent="0.2">
      <c r="A165" s="141" t="s">
        <v>1259</v>
      </c>
      <c r="B165" s="157" t="s">
        <v>1260</v>
      </c>
      <c r="C165" s="143" t="s">
        <v>947</v>
      </c>
      <c r="D165" s="143" t="s">
        <v>947</v>
      </c>
      <c r="E165" s="144" t="s">
        <v>1066</v>
      </c>
      <c r="F165" s="145">
        <f>2178+1630</f>
        <v>3808</v>
      </c>
      <c r="G165" s="146">
        <f>2286+702+946</f>
        <v>3934</v>
      </c>
      <c r="H165" s="146">
        <v>53</v>
      </c>
      <c r="I165" s="201"/>
      <c r="J165" s="147">
        <v>0</v>
      </c>
      <c r="K165" s="146">
        <v>0</v>
      </c>
      <c r="L165" s="146">
        <v>0</v>
      </c>
      <c r="M165" s="146">
        <v>0</v>
      </c>
      <c r="N165" s="146">
        <v>0</v>
      </c>
      <c r="O165" s="146">
        <v>0</v>
      </c>
      <c r="P165" s="204"/>
      <c r="Q165" s="204"/>
      <c r="R165" s="204"/>
      <c r="S165" s="204"/>
      <c r="T165" s="204"/>
      <c r="U165" s="204"/>
      <c r="V165" s="204"/>
      <c r="W165" s="204"/>
      <c r="X165" s="204"/>
      <c r="Y165" s="204"/>
      <c r="Z165" s="204"/>
      <c r="AA165" s="204"/>
      <c r="AB165" s="204"/>
      <c r="AC165" s="204"/>
      <c r="AD165" s="204"/>
      <c r="AE165" s="204"/>
      <c r="AF165" s="148" t="s">
        <v>1073</v>
      </c>
      <c r="AG165" s="148" t="s">
        <v>927</v>
      </c>
    </row>
    <row r="166" spans="1:33" ht="24.95" customHeight="1" x14ac:dyDescent="0.2">
      <c r="A166" s="141" t="s">
        <v>1261</v>
      </c>
      <c r="B166" s="157" t="s">
        <v>1262</v>
      </c>
      <c r="C166" s="143" t="s">
        <v>947</v>
      </c>
      <c r="D166" s="143" t="s">
        <v>947</v>
      </c>
      <c r="E166" s="144" t="s">
        <v>951</v>
      </c>
      <c r="F166" s="145">
        <f>340+6455</f>
        <v>6795</v>
      </c>
      <c r="G166" s="146">
        <f>7230+85</f>
        <v>7315</v>
      </c>
      <c r="H166" s="146">
        <v>111</v>
      </c>
      <c r="I166" s="201"/>
      <c r="J166" s="147">
        <v>6911</v>
      </c>
      <c r="K166" s="146">
        <v>7315</v>
      </c>
      <c r="L166" s="146">
        <v>99</v>
      </c>
      <c r="M166" s="146">
        <v>5891</v>
      </c>
      <c r="N166" s="146">
        <v>8</v>
      </c>
      <c r="O166" s="146">
        <v>6258</v>
      </c>
      <c r="P166" s="204"/>
      <c r="Q166" s="204"/>
      <c r="R166" s="204"/>
      <c r="S166" s="204"/>
      <c r="T166" s="204"/>
      <c r="U166" s="204"/>
      <c r="V166" s="204"/>
      <c r="W166" s="204"/>
      <c r="X166" s="204"/>
      <c r="Y166" s="204"/>
      <c r="Z166" s="204"/>
      <c r="AA166" s="204"/>
      <c r="AB166" s="204"/>
      <c r="AC166" s="204"/>
      <c r="AD166" s="204"/>
      <c r="AE166" s="204"/>
      <c r="AF166" s="148" t="s">
        <v>926</v>
      </c>
      <c r="AG166" s="148" t="s">
        <v>960</v>
      </c>
    </row>
    <row r="167" spans="1:33" ht="24.95" customHeight="1" x14ac:dyDescent="0.2">
      <c r="A167" s="141" t="s">
        <v>1263</v>
      </c>
      <c r="B167" s="157" t="s">
        <v>1264</v>
      </c>
      <c r="C167" s="143" t="s">
        <v>947</v>
      </c>
      <c r="D167" s="143" t="s">
        <v>947</v>
      </c>
      <c r="E167" s="144" t="s">
        <v>951</v>
      </c>
      <c r="F167" s="145">
        <f>6300+2910</f>
        <v>9210</v>
      </c>
      <c r="G167" s="146">
        <f>4975+3040+205+120+15</f>
        <v>8355</v>
      </c>
      <c r="H167" s="146">
        <v>151</v>
      </c>
      <c r="I167" s="201"/>
      <c r="J167" s="147">
        <v>8465</v>
      </c>
      <c r="K167" s="146">
        <v>8355</v>
      </c>
      <c r="L167" s="146">
        <v>116</v>
      </c>
      <c r="M167" s="146">
        <v>6065</v>
      </c>
      <c r="N167" s="146">
        <v>11</v>
      </c>
      <c r="O167" s="146">
        <v>7479</v>
      </c>
      <c r="P167" s="204"/>
      <c r="Q167" s="204"/>
      <c r="R167" s="204"/>
      <c r="S167" s="204"/>
      <c r="T167" s="204"/>
      <c r="U167" s="204"/>
      <c r="V167" s="204"/>
      <c r="W167" s="204"/>
      <c r="X167" s="204"/>
      <c r="Y167" s="204"/>
      <c r="Z167" s="204"/>
      <c r="AA167" s="204"/>
      <c r="AB167" s="204"/>
      <c r="AC167" s="204"/>
      <c r="AD167" s="204"/>
      <c r="AE167" s="204"/>
      <c r="AF167" s="148" t="s">
        <v>926</v>
      </c>
      <c r="AG167" s="148" t="s">
        <v>960</v>
      </c>
    </row>
    <row r="168" spans="1:33" ht="24.95" customHeight="1" x14ac:dyDescent="0.2">
      <c r="A168" s="141" t="s">
        <v>1265</v>
      </c>
      <c r="B168" s="157" t="s">
        <v>1266</v>
      </c>
      <c r="C168" s="143" t="s">
        <v>930</v>
      </c>
      <c r="D168" s="143" t="s">
        <v>930</v>
      </c>
      <c r="E168" s="144" t="s">
        <v>925</v>
      </c>
      <c r="F168" s="145">
        <v>5780</v>
      </c>
      <c r="G168" s="146">
        <v>6125</v>
      </c>
      <c r="H168" s="146">
        <v>0</v>
      </c>
      <c r="I168" s="201"/>
      <c r="J168" s="147">
        <v>0</v>
      </c>
      <c r="K168" s="146">
        <v>0</v>
      </c>
      <c r="L168" s="146">
        <v>0</v>
      </c>
      <c r="M168" s="146">
        <v>0</v>
      </c>
      <c r="N168" s="146">
        <v>0</v>
      </c>
      <c r="O168" s="146">
        <v>0</v>
      </c>
      <c r="P168" s="204"/>
      <c r="Q168" s="204"/>
      <c r="R168" s="204"/>
      <c r="S168" s="204"/>
      <c r="T168" s="204"/>
      <c r="U168" s="204"/>
      <c r="V168" s="204"/>
      <c r="W168" s="204"/>
      <c r="X168" s="204"/>
      <c r="Y168" s="204"/>
      <c r="Z168" s="204"/>
      <c r="AA168" s="204"/>
      <c r="AB168" s="204"/>
      <c r="AC168" s="204"/>
      <c r="AD168" s="204"/>
      <c r="AE168" s="204"/>
      <c r="AF168" s="148" t="s">
        <v>1173</v>
      </c>
      <c r="AG168" s="148" t="s">
        <v>960</v>
      </c>
    </row>
    <row r="169" spans="1:33" ht="24.95" customHeight="1" x14ac:dyDescent="0.2">
      <c r="A169" s="141" t="s">
        <v>1267</v>
      </c>
      <c r="B169" s="142" t="s">
        <v>1268</v>
      </c>
      <c r="C169" s="143" t="s">
        <v>947</v>
      </c>
      <c r="D169" s="143" t="s">
        <v>947</v>
      </c>
      <c r="E169" s="144" t="s">
        <v>948</v>
      </c>
      <c r="F169" s="145">
        <v>1570</v>
      </c>
      <c r="G169" s="146">
        <v>1490</v>
      </c>
      <c r="H169" s="146">
        <v>50</v>
      </c>
      <c r="I169" s="201"/>
      <c r="J169" s="147">
        <v>1600</v>
      </c>
      <c r="K169" s="146">
        <v>1490</v>
      </c>
      <c r="L169" s="146">
        <v>42</v>
      </c>
      <c r="M169" s="146">
        <v>1670</v>
      </c>
      <c r="N169" s="146">
        <v>4</v>
      </c>
      <c r="O169" s="146">
        <v>1102</v>
      </c>
      <c r="P169" s="204"/>
      <c r="Q169" s="204"/>
      <c r="R169" s="204"/>
      <c r="S169" s="204"/>
      <c r="T169" s="204"/>
      <c r="U169" s="204"/>
      <c r="V169" s="204"/>
      <c r="W169" s="204"/>
      <c r="X169" s="204"/>
      <c r="Y169" s="204"/>
      <c r="Z169" s="204"/>
      <c r="AA169" s="204"/>
      <c r="AB169" s="204"/>
      <c r="AC169" s="204"/>
      <c r="AD169" s="204"/>
      <c r="AE169" s="204"/>
      <c r="AF169" s="148" t="s">
        <v>926</v>
      </c>
      <c r="AG169" s="149" t="s">
        <v>927</v>
      </c>
    </row>
    <row r="170" spans="1:33" ht="24.95" customHeight="1" x14ac:dyDescent="0.2">
      <c r="A170" s="141" t="s">
        <v>1269</v>
      </c>
      <c r="B170" s="157" t="s">
        <v>1270</v>
      </c>
      <c r="C170" s="143" t="s">
        <v>930</v>
      </c>
      <c r="D170" s="143" t="s">
        <v>930</v>
      </c>
      <c r="E170" s="144" t="s">
        <v>1020</v>
      </c>
      <c r="F170" s="145">
        <f>875+1895</f>
        <v>2770</v>
      </c>
      <c r="G170" s="146">
        <f>130+275+295+655+1585+2970+96+1+1</f>
        <v>6008</v>
      </c>
      <c r="H170" s="146">
        <v>23</v>
      </c>
      <c r="I170" s="201"/>
      <c r="J170" s="147">
        <v>0</v>
      </c>
      <c r="K170" s="146">
        <v>0</v>
      </c>
      <c r="L170" s="146">
        <v>0</v>
      </c>
      <c r="M170" s="146">
        <v>0</v>
      </c>
      <c r="N170" s="146">
        <v>0</v>
      </c>
      <c r="O170" s="146">
        <v>0</v>
      </c>
      <c r="P170" s="204"/>
      <c r="Q170" s="204"/>
      <c r="R170" s="204"/>
      <c r="S170" s="204"/>
      <c r="T170" s="204"/>
      <c r="U170" s="204"/>
      <c r="V170" s="204"/>
      <c r="W170" s="204"/>
      <c r="X170" s="204"/>
      <c r="Y170" s="204"/>
      <c r="Z170" s="204"/>
      <c r="AA170" s="204"/>
      <c r="AB170" s="204"/>
      <c r="AC170" s="204"/>
      <c r="AD170" s="204"/>
      <c r="AE170" s="204"/>
      <c r="AF170" s="148" t="s">
        <v>926</v>
      </c>
      <c r="AG170" s="148" t="s">
        <v>960</v>
      </c>
    </row>
    <row r="171" spans="1:33" ht="24.95" customHeight="1" x14ac:dyDescent="0.2">
      <c r="A171" s="141" t="s">
        <v>1271</v>
      </c>
      <c r="B171" s="142" t="s">
        <v>1272</v>
      </c>
      <c r="C171" s="143" t="s">
        <v>947</v>
      </c>
      <c r="D171" s="143" t="s">
        <v>987</v>
      </c>
      <c r="E171" s="144" t="s">
        <v>925</v>
      </c>
      <c r="F171" s="145">
        <v>300</v>
      </c>
      <c r="G171" s="146">
        <v>150</v>
      </c>
      <c r="H171" s="146">
        <v>0</v>
      </c>
      <c r="I171" s="201"/>
      <c r="J171" s="147">
        <v>659</v>
      </c>
      <c r="K171" s="146">
        <v>378</v>
      </c>
      <c r="L171" s="146">
        <v>0</v>
      </c>
      <c r="M171" s="146">
        <v>0</v>
      </c>
      <c r="N171" s="146">
        <v>0</v>
      </c>
      <c r="O171" s="146">
        <v>0</v>
      </c>
      <c r="P171" s="204"/>
      <c r="Q171" s="204"/>
      <c r="R171" s="204"/>
      <c r="S171" s="204"/>
      <c r="T171" s="204"/>
      <c r="U171" s="204"/>
      <c r="V171" s="204"/>
      <c r="W171" s="204"/>
      <c r="X171" s="204"/>
      <c r="Y171" s="204"/>
      <c r="Z171" s="204"/>
      <c r="AA171" s="204"/>
      <c r="AB171" s="204"/>
      <c r="AC171" s="204"/>
      <c r="AD171" s="204"/>
      <c r="AE171" s="204"/>
      <c r="AF171" s="148" t="s">
        <v>926</v>
      </c>
      <c r="AG171" s="148" t="s">
        <v>960</v>
      </c>
    </row>
    <row r="172" spans="1:33" ht="24.95" customHeight="1" x14ac:dyDescent="0.2">
      <c r="A172" s="141" t="s">
        <v>1273</v>
      </c>
      <c r="B172" s="157" t="s">
        <v>1274</v>
      </c>
      <c r="C172" s="143" t="s">
        <v>947</v>
      </c>
      <c r="D172" s="143" t="s">
        <v>947</v>
      </c>
      <c r="E172" s="144" t="s">
        <v>951</v>
      </c>
      <c r="F172" s="145">
        <v>5258</v>
      </c>
      <c r="G172" s="146">
        <v>7857</v>
      </c>
      <c r="H172" s="146">
        <v>168</v>
      </c>
      <c r="I172" s="201"/>
      <c r="J172" s="147">
        <v>0</v>
      </c>
      <c r="K172" s="146">
        <v>0</v>
      </c>
      <c r="L172" s="146">
        <v>0</v>
      </c>
      <c r="M172" s="146">
        <v>0</v>
      </c>
      <c r="N172" s="146">
        <v>0</v>
      </c>
      <c r="O172" s="146">
        <v>0</v>
      </c>
      <c r="P172" s="204"/>
      <c r="Q172" s="204"/>
      <c r="R172" s="204"/>
      <c r="S172" s="204"/>
      <c r="T172" s="204"/>
      <c r="U172" s="204"/>
      <c r="V172" s="204"/>
      <c r="W172" s="204"/>
      <c r="X172" s="204"/>
      <c r="Y172" s="204"/>
      <c r="Z172" s="204"/>
      <c r="AA172" s="204"/>
      <c r="AB172" s="204"/>
      <c r="AC172" s="204"/>
      <c r="AD172" s="204"/>
      <c r="AE172" s="204"/>
      <c r="AF172" s="148" t="s">
        <v>926</v>
      </c>
      <c r="AG172" s="148" t="s">
        <v>960</v>
      </c>
    </row>
    <row r="173" spans="1:33" ht="24.95" customHeight="1" x14ac:dyDescent="0.2">
      <c r="A173" s="141" t="s">
        <v>1275</v>
      </c>
      <c r="B173" s="157" t="s">
        <v>1276</v>
      </c>
      <c r="C173" s="143" t="s">
        <v>947</v>
      </c>
      <c r="D173" s="143" t="s">
        <v>947</v>
      </c>
      <c r="E173" s="144" t="s">
        <v>951</v>
      </c>
      <c r="F173" s="145">
        <v>3570</v>
      </c>
      <c r="G173" s="146">
        <v>2265</v>
      </c>
      <c r="H173" s="146">
        <v>51</v>
      </c>
      <c r="I173" s="201"/>
      <c r="J173" s="147">
        <v>3150</v>
      </c>
      <c r="K173" s="146">
        <v>2265</v>
      </c>
      <c r="L173" s="146">
        <v>41</v>
      </c>
      <c r="M173" s="146">
        <v>2198</v>
      </c>
      <c r="N173" s="146">
        <v>0</v>
      </c>
      <c r="O173" s="146">
        <v>1835</v>
      </c>
      <c r="P173" s="204"/>
      <c r="Q173" s="204"/>
      <c r="R173" s="204"/>
      <c r="S173" s="204"/>
      <c r="T173" s="204"/>
      <c r="U173" s="204"/>
      <c r="V173" s="204"/>
      <c r="W173" s="204"/>
      <c r="X173" s="204"/>
      <c r="Y173" s="204"/>
      <c r="Z173" s="204"/>
      <c r="AA173" s="204"/>
      <c r="AB173" s="204"/>
      <c r="AC173" s="204"/>
      <c r="AD173" s="204"/>
      <c r="AE173" s="204"/>
      <c r="AF173" s="148" t="s">
        <v>926</v>
      </c>
      <c r="AG173" s="148" t="s">
        <v>960</v>
      </c>
    </row>
    <row r="174" spans="1:33" ht="24.95" customHeight="1" x14ac:dyDescent="0.2">
      <c r="A174" s="141" t="s">
        <v>1277</v>
      </c>
      <c r="B174" s="157" t="s">
        <v>1278</v>
      </c>
      <c r="C174" s="143" t="s">
        <v>937</v>
      </c>
      <c r="D174" s="143" t="s">
        <v>937</v>
      </c>
      <c r="E174" s="144" t="s">
        <v>925</v>
      </c>
      <c r="F174" s="145">
        <v>2565</v>
      </c>
      <c r="G174" s="146">
        <v>2600</v>
      </c>
      <c r="H174" s="146">
        <v>34</v>
      </c>
      <c r="I174" s="201"/>
      <c r="J174" s="147">
        <v>2768</v>
      </c>
      <c r="K174" s="146">
        <v>2815</v>
      </c>
      <c r="L174" s="146">
        <v>42</v>
      </c>
      <c r="M174" s="146">
        <v>2160</v>
      </c>
      <c r="N174" s="146">
        <v>0</v>
      </c>
      <c r="O174" s="146">
        <v>1781</v>
      </c>
      <c r="P174" s="204"/>
      <c r="Q174" s="204"/>
      <c r="R174" s="204"/>
      <c r="S174" s="204"/>
      <c r="T174" s="204"/>
      <c r="U174" s="204"/>
      <c r="V174" s="204"/>
      <c r="W174" s="204"/>
      <c r="X174" s="204"/>
      <c r="Y174" s="204"/>
      <c r="Z174" s="204"/>
      <c r="AA174" s="204"/>
      <c r="AB174" s="204"/>
      <c r="AC174" s="204"/>
      <c r="AD174" s="204"/>
      <c r="AE174" s="204"/>
      <c r="AF174" s="148" t="s">
        <v>926</v>
      </c>
      <c r="AG174" s="148" t="s">
        <v>960</v>
      </c>
    </row>
    <row r="175" spans="1:33" ht="24.95" customHeight="1" x14ac:dyDescent="0.2">
      <c r="A175" s="141" t="s">
        <v>1279</v>
      </c>
      <c r="B175" s="157" t="s">
        <v>1280</v>
      </c>
      <c r="C175" s="143" t="s">
        <v>937</v>
      </c>
      <c r="D175" s="143" t="s">
        <v>1182</v>
      </c>
      <c r="E175" s="144" t="s">
        <v>925</v>
      </c>
      <c r="F175" s="145">
        <v>260</v>
      </c>
      <c r="G175" s="146">
        <v>260</v>
      </c>
      <c r="H175" s="146">
        <v>2</v>
      </c>
      <c r="I175" s="201"/>
      <c r="J175" s="147">
        <v>249</v>
      </c>
      <c r="K175" s="146">
        <v>249</v>
      </c>
      <c r="L175" s="146">
        <v>2</v>
      </c>
      <c r="M175" s="146">
        <v>0</v>
      </c>
      <c r="N175" s="146">
        <v>0</v>
      </c>
      <c r="O175" s="146">
        <v>4</v>
      </c>
      <c r="P175" s="204"/>
      <c r="Q175" s="204"/>
      <c r="R175" s="204"/>
      <c r="S175" s="204"/>
      <c r="T175" s="204"/>
      <c r="U175" s="204"/>
      <c r="V175" s="204"/>
      <c r="W175" s="204"/>
      <c r="X175" s="204"/>
      <c r="Y175" s="204"/>
      <c r="Z175" s="204"/>
      <c r="AA175" s="204"/>
      <c r="AB175" s="204"/>
      <c r="AC175" s="204"/>
      <c r="AD175" s="204"/>
      <c r="AE175" s="204"/>
      <c r="AF175" s="148" t="s">
        <v>926</v>
      </c>
      <c r="AG175" s="148" t="s">
        <v>960</v>
      </c>
    </row>
    <row r="176" spans="1:33" ht="24.95" customHeight="1" x14ac:dyDescent="0.2">
      <c r="A176" s="141" t="s">
        <v>1281</v>
      </c>
      <c r="B176" s="157" t="s">
        <v>1282</v>
      </c>
      <c r="C176" s="143" t="s">
        <v>930</v>
      </c>
      <c r="D176" s="143" t="s">
        <v>930</v>
      </c>
      <c r="E176" s="144" t="s">
        <v>1066</v>
      </c>
      <c r="F176" s="145">
        <f>5235+2270</f>
        <v>7505</v>
      </c>
      <c r="G176" s="146">
        <f>6870-90</f>
        <v>6780</v>
      </c>
      <c r="H176" s="146">
        <v>90</v>
      </c>
      <c r="I176" s="201"/>
      <c r="J176" s="147">
        <v>7443</v>
      </c>
      <c r="K176" s="146">
        <v>6780</v>
      </c>
      <c r="L176" s="146">
        <v>80</v>
      </c>
      <c r="M176" s="146">
        <v>2855</v>
      </c>
      <c r="N176" s="146">
        <v>1</v>
      </c>
      <c r="O176" s="146">
        <v>3102</v>
      </c>
      <c r="P176" s="204"/>
      <c r="Q176" s="204"/>
      <c r="R176" s="204"/>
      <c r="S176" s="204"/>
      <c r="T176" s="204"/>
      <c r="U176" s="204"/>
      <c r="V176" s="204"/>
      <c r="W176" s="204"/>
      <c r="X176" s="204"/>
      <c r="Y176" s="204"/>
      <c r="Z176" s="204"/>
      <c r="AA176" s="204"/>
      <c r="AB176" s="204"/>
      <c r="AC176" s="204"/>
      <c r="AD176" s="204"/>
      <c r="AE176" s="204"/>
      <c r="AF176" s="148" t="s">
        <v>926</v>
      </c>
      <c r="AG176" s="148" t="s">
        <v>960</v>
      </c>
    </row>
    <row r="177" spans="1:33" ht="24.95" customHeight="1" x14ac:dyDescent="0.2">
      <c r="A177" s="141" t="s">
        <v>1283</v>
      </c>
      <c r="B177" s="157" t="s">
        <v>1284</v>
      </c>
      <c r="C177" s="143" t="s">
        <v>930</v>
      </c>
      <c r="D177" s="143" t="s">
        <v>930</v>
      </c>
      <c r="E177" s="144" t="s">
        <v>925</v>
      </c>
      <c r="F177" s="145">
        <f>1360+4245</f>
        <v>5605</v>
      </c>
      <c r="G177" s="146">
        <f>4547-77</f>
        <v>4470</v>
      </c>
      <c r="H177" s="146">
        <v>77</v>
      </c>
      <c r="I177" s="201"/>
      <c r="J177" s="147">
        <v>5641</v>
      </c>
      <c r="K177" s="146">
        <v>4470</v>
      </c>
      <c r="L177" s="146">
        <v>65</v>
      </c>
      <c r="M177" s="146">
        <v>2616</v>
      </c>
      <c r="N177" s="146">
        <v>3</v>
      </c>
      <c r="O177" s="146">
        <v>2934</v>
      </c>
      <c r="P177" s="204"/>
      <c r="Q177" s="204"/>
      <c r="R177" s="204"/>
      <c r="S177" s="204"/>
      <c r="T177" s="204"/>
      <c r="U177" s="204"/>
      <c r="V177" s="204"/>
      <c r="W177" s="204"/>
      <c r="X177" s="204"/>
      <c r="Y177" s="204"/>
      <c r="Z177" s="204"/>
      <c r="AA177" s="204"/>
      <c r="AB177" s="204"/>
      <c r="AC177" s="204"/>
      <c r="AD177" s="204"/>
      <c r="AE177" s="204"/>
      <c r="AF177" s="148" t="s">
        <v>926</v>
      </c>
      <c r="AG177" s="148" t="s">
        <v>960</v>
      </c>
    </row>
    <row r="178" spans="1:33" ht="24.95" customHeight="1" x14ac:dyDescent="0.2">
      <c r="A178" s="141" t="s">
        <v>1285</v>
      </c>
      <c r="B178" s="157" t="s">
        <v>1286</v>
      </c>
      <c r="C178" s="143" t="s">
        <v>923</v>
      </c>
      <c r="D178" s="143" t="s">
        <v>987</v>
      </c>
      <c r="E178" s="144" t="s">
        <v>975</v>
      </c>
      <c r="F178" s="145">
        <v>3835</v>
      </c>
      <c r="G178" s="146">
        <v>4193</v>
      </c>
      <c r="H178" s="146">
        <v>44</v>
      </c>
      <c r="I178" s="201"/>
      <c r="J178" s="147">
        <v>3980</v>
      </c>
      <c r="K178" s="146">
        <v>4441</v>
      </c>
      <c r="L178" s="146">
        <v>45</v>
      </c>
      <c r="M178" s="146">
        <v>2309</v>
      </c>
      <c r="N178" s="146">
        <v>3</v>
      </c>
      <c r="O178" s="146">
        <v>2420</v>
      </c>
      <c r="P178" s="204"/>
      <c r="Q178" s="204"/>
      <c r="R178" s="204"/>
      <c r="S178" s="204"/>
      <c r="T178" s="204"/>
      <c r="U178" s="204"/>
      <c r="V178" s="204"/>
      <c r="W178" s="204"/>
      <c r="X178" s="204"/>
      <c r="Y178" s="204"/>
      <c r="Z178" s="204"/>
      <c r="AA178" s="204"/>
      <c r="AB178" s="204"/>
      <c r="AC178" s="204"/>
      <c r="AD178" s="204"/>
      <c r="AE178" s="204"/>
      <c r="AF178" s="148" t="s">
        <v>926</v>
      </c>
      <c r="AG178" s="148" t="s">
        <v>960</v>
      </c>
    </row>
    <row r="179" spans="1:33" ht="24.95" customHeight="1" x14ac:dyDescent="0.2">
      <c r="A179" s="141" t="s">
        <v>1287</v>
      </c>
      <c r="B179" s="157" t="s">
        <v>1288</v>
      </c>
      <c r="C179" s="143" t="s">
        <v>937</v>
      </c>
      <c r="D179" s="143" t="s">
        <v>930</v>
      </c>
      <c r="E179" s="144" t="s">
        <v>975</v>
      </c>
      <c r="F179" s="145">
        <f>269+3314</f>
        <v>3583</v>
      </c>
      <c r="G179" s="146">
        <f>925+2881+18+2+6</f>
        <v>3832</v>
      </c>
      <c r="H179" s="146">
        <f>7+41</f>
        <v>48</v>
      </c>
      <c r="I179" s="201"/>
      <c r="J179" s="147">
        <v>0</v>
      </c>
      <c r="K179" s="146">
        <v>0</v>
      </c>
      <c r="L179" s="146">
        <v>0</v>
      </c>
      <c r="M179" s="146">
        <v>0</v>
      </c>
      <c r="N179" s="146">
        <v>0</v>
      </c>
      <c r="O179" s="146">
        <v>0</v>
      </c>
      <c r="P179" s="204"/>
      <c r="Q179" s="204"/>
      <c r="R179" s="204"/>
      <c r="S179" s="204"/>
      <c r="T179" s="204"/>
      <c r="U179" s="204"/>
      <c r="V179" s="204"/>
      <c r="W179" s="204"/>
      <c r="X179" s="204"/>
      <c r="Y179" s="204"/>
      <c r="Z179" s="204"/>
      <c r="AA179" s="204"/>
      <c r="AB179" s="204"/>
      <c r="AC179" s="204"/>
      <c r="AD179" s="204"/>
      <c r="AE179" s="204"/>
      <c r="AF179" s="148" t="s">
        <v>926</v>
      </c>
      <c r="AG179" s="148" t="s">
        <v>927</v>
      </c>
    </row>
    <row r="180" spans="1:33" ht="24.95" customHeight="1" x14ac:dyDescent="0.2">
      <c r="A180" s="141" t="s">
        <v>1289</v>
      </c>
      <c r="B180" s="157" t="s">
        <v>1290</v>
      </c>
      <c r="C180" s="143" t="s">
        <v>930</v>
      </c>
      <c r="D180" s="143" t="s">
        <v>930</v>
      </c>
      <c r="E180" s="144" t="s">
        <v>975</v>
      </c>
      <c r="F180" s="145">
        <f>2567-49</f>
        <v>2518</v>
      </c>
      <c r="G180" s="146">
        <v>2011</v>
      </c>
      <c r="H180" s="146">
        <v>49</v>
      </c>
      <c r="I180" s="201"/>
      <c r="J180" s="147">
        <v>2913</v>
      </c>
      <c r="K180" s="146">
        <v>2376</v>
      </c>
      <c r="L180" s="146">
        <v>41</v>
      </c>
      <c r="M180" s="146">
        <v>1702</v>
      </c>
      <c r="N180" s="146">
        <v>11</v>
      </c>
      <c r="O180" s="146">
        <v>2078</v>
      </c>
      <c r="P180" s="204"/>
      <c r="Q180" s="204"/>
      <c r="R180" s="204"/>
      <c r="S180" s="204"/>
      <c r="T180" s="204"/>
      <c r="U180" s="204"/>
      <c r="V180" s="204"/>
      <c r="W180" s="204"/>
      <c r="X180" s="204"/>
      <c r="Y180" s="204"/>
      <c r="Z180" s="204"/>
      <c r="AA180" s="204"/>
      <c r="AB180" s="204"/>
      <c r="AC180" s="204"/>
      <c r="AD180" s="204"/>
      <c r="AE180" s="204"/>
      <c r="AF180" s="148" t="s">
        <v>926</v>
      </c>
      <c r="AG180" s="148" t="s">
        <v>960</v>
      </c>
    </row>
    <row r="181" spans="1:33" ht="24.95" customHeight="1" x14ac:dyDescent="0.2">
      <c r="A181" s="141" t="s">
        <v>1291</v>
      </c>
      <c r="B181" s="157" t="s">
        <v>1292</v>
      </c>
      <c r="C181" s="143" t="s">
        <v>947</v>
      </c>
      <c r="D181" s="143" t="s">
        <v>947</v>
      </c>
      <c r="E181" s="144" t="s">
        <v>1066</v>
      </c>
      <c r="F181" s="145">
        <f>637+5181</f>
        <v>5818</v>
      </c>
      <c r="G181" s="146">
        <v>6742</v>
      </c>
      <c r="H181" s="146">
        <v>207</v>
      </c>
      <c r="I181" s="201"/>
      <c r="J181" s="147">
        <v>7159</v>
      </c>
      <c r="K181" s="146">
        <v>6742</v>
      </c>
      <c r="L181" s="146">
        <v>180</v>
      </c>
      <c r="M181" s="146">
        <v>0</v>
      </c>
      <c r="N181" s="146">
        <f>207-180</f>
        <v>27</v>
      </c>
      <c r="O181" s="146">
        <v>0</v>
      </c>
      <c r="P181" s="204"/>
      <c r="Q181" s="204"/>
      <c r="R181" s="204"/>
      <c r="S181" s="204"/>
      <c r="T181" s="204"/>
      <c r="U181" s="204"/>
      <c r="V181" s="204"/>
      <c r="W181" s="204"/>
      <c r="X181" s="204"/>
      <c r="Y181" s="204"/>
      <c r="Z181" s="204"/>
      <c r="AA181" s="204"/>
      <c r="AB181" s="204"/>
      <c r="AC181" s="204"/>
      <c r="AD181" s="204"/>
      <c r="AE181" s="204"/>
      <c r="AF181" s="148" t="s">
        <v>926</v>
      </c>
      <c r="AG181" s="148" t="s">
        <v>960</v>
      </c>
    </row>
    <row r="182" spans="1:33" ht="24.95" customHeight="1" x14ac:dyDescent="0.2">
      <c r="A182" s="141" t="s">
        <v>1293</v>
      </c>
      <c r="B182" s="157" t="s">
        <v>1294</v>
      </c>
      <c r="C182" s="143" t="s">
        <v>947</v>
      </c>
      <c r="D182" s="143" t="s">
        <v>947</v>
      </c>
      <c r="E182" s="144" t="s">
        <v>951</v>
      </c>
      <c r="F182" s="145">
        <v>1175</v>
      </c>
      <c r="G182" s="146">
        <v>800</v>
      </c>
      <c r="H182" s="146">
        <v>6</v>
      </c>
      <c r="I182" s="201"/>
      <c r="J182" s="147">
        <v>1175</v>
      </c>
      <c r="K182" s="146">
        <v>1000</v>
      </c>
      <c r="L182" s="146">
        <v>4</v>
      </c>
      <c r="M182" s="146">
        <v>312</v>
      </c>
      <c r="N182" s="146">
        <v>0</v>
      </c>
      <c r="O182" s="146">
        <v>324</v>
      </c>
      <c r="P182" s="204"/>
      <c r="Q182" s="204"/>
      <c r="R182" s="204"/>
      <c r="S182" s="204"/>
      <c r="T182" s="204"/>
      <c r="U182" s="204"/>
      <c r="V182" s="204"/>
      <c r="W182" s="204"/>
      <c r="X182" s="204"/>
      <c r="Y182" s="204"/>
      <c r="Z182" s="204"/>
      <c r="AA182" s="204"/>
      <c r="AB182" s="204"/>
      <c r="AC182" s="204"/>
      <c r="AD182" s="204"/>
      <c r="AE182" s="204"/>
      <c r="AF182" s="148" t="s">
        <v>926</v>
      </c>
      <c r="AG182" s="148" t="s">
        <v>960</v>
      </c>
    </row>
    <row r="183" spans="1:33" ht="24.95" customHeight="1" x14ac:dyDescent="0.2">
      <c r="A183" s="158" t="s">
        <v>1295</v>
      </c>
      <c r="B183" s="159" t="s">
        <v>1296</v>
      </c>
      <c r="C183" s="160" t="s">
        <v>947</v>
      </c>
      <c r="D183" s="160" t="s">
        <v>947</v>
      </c>
      <c r="E183" s="144" t="s">
        <v>951</v>
      </c>
      <c r="F183" s="161">
        <v>750</v>
      </c>
      <c r="G183" s="162">
        <v>998</v>
      </c>
      <c r="H183" s="162">
        <v>2</v>
      </c>
      <c r="I183" s="203"/>
      <c r="J183" s="147">
        <v>750</v>
      </c>
      <c r="K183" s="146">
        <v>998</v>
      </c>
      <c r="L183" s="146">
        <v>2</v>
      </c>
      <c r="M183" s="146">
        <v>291</v>
      </c>
      <c r="N183" s="146">
        <v>0</v>
      </c>
      <c r="O183" s="146">
        <v>293</v>
      </c>
      <c r="P183" s="206"/>
      <c r="Q183" s="206"/>
      <c r="R183" s="206"/>
      <c r="S183" s="206"/>
      <c r="T183" s="206"/>
      <c r="U183" s="206"/>
      <c r="V183" s="206"/>
      <c r="W183" s="206"/>
      <c r="X183" s="206"/>
      <c r="Y183" s="204"/>
      <c r="Z183" s="204"/>
      <c r="AA183" s="204"/>
      <c r="AB183" s="204"/>
      <c r="AC183" s="204"/>
      <c r="AD183" s="204"/>
      <c r="AE183" s="204"/>
      <c r="AF183" s="148" t="s">
        <v>926</v>
      </c>
      <c r="AG183" s="148" t="s">
        <v>960</v>
      </c>
    </row>
    <row r="184" spans="1:33" ht="24.95" customHeight="1" x14ac:dyDescent="0.2">
      <c r="A184" s="158" t="s">
        <v>1297</v>
      </c>
      <c r="B184" s="159" t="s">
        <v>1298</v>
      </c>
      <c r="C184" s="160" t="s">
        <v>947</v>
      </c>
      <c r="D184" s="160" t="s">
        <v>947</v>
      </c>
      <c r="E184" s="163" t="s">
        <v>948</v>
      </c>
      <c r="F184" s="161">
        <v>0</v>
      </c>
      <c r="G184" s="162">
        <v>1293</v>
      </c>
      <c r="H184" s="162">
        <v>0</v>
      </c>
      <c r="I184" s="203"/>
      <c r="J184" s="147">
        <v>0</v>
      </c>
      <c r="K184" s="146">
        <v>1293</v>
      </c>
      <c r="L184" s="146">
        <v>0</v>
      </c>
      <c r="M184" s="146">
        <v>0</v>
      </c>
      <c r="N184" s="146">
        <v>0</v>
      </c>
      <c r="O184" s="146">
        <v>0</v>
      </c>
      <c r="P184" s="206"/>
      <c r="Q184" s="206"/>
      <c r="R184" s="206"/>
      <c r="S184" s="206"/>
      <c r="T184" s="206"/>
      <c r="U184" s="206"/>
      <c r="V184" s="206"/>
      <c r="W184" s="206"/>
      <c r="X184" s="206"/>
      <c r="Y184" s="204"/>
      <c r="Z184" s="204"/>
      <c r="AA184" s="204"/>
      <c r="AB184" s="204"/>
      <c r="AC184" s="204"/>
      <c r="AD184" s="204"/>
      <c r="AE184" s="204"/>
      <c r="AF184" s="148" t="s">
        <v>926</v>
      </c>
      <c r="AG184" s="148" t="s">
        <v>960</v>
      </c>
    </row>
    <row r="185" spans="1:33" ht="24.95" customHeight="1" x14ac:dyDescent="0.2">
      <c r="A185" s="158" t="s">
        <v>1299</v>
      </c>
      <c r="B185" s="159" t="s">
        <v>1300</v>
      </c>
      <c r="C185" s="160" t="s">
        <v>947</v>
      </c>
      <c r="D185" s="160" t="s">
        <v>947</v>
      </c>
      <c r="E185" s="144" t="s">
        <v>1066</v>
      </c>
      <c r="F185" s="161">
        <v>2690</v>
      </c>
      <c r="G185" s="162">
        <f>8178-107</f>
        <v>8071</v>
      </c>
      <c r="H185" s="162">
        <v>107</v>
      </c>
      <c r="I185" s="203"/>
      <c r="J185" s="147">
        <v>2760</v>
      </c>
      <c r="K185" s="146">
        <v>8081</v>
      </c>
      <c r="L185" s="146">
        <v>103</v>
      </c>
      <c r="M185" s="146">
        <v>5746</v>
      </c>
      <c r="N185" s="146">
        <v>2</v>
      </c>
      <c r="O185" s="146">
        <v>4646</v>
      </c>
      <c r="P185" s="206"/>
      <c r="Q185" s="206"/>
      <c r="R185" s="206"/>
      <c r="S185" s="206"/>
      <c r="T185" s="206"/>
      <c r="U185" s="206"/>
      <c r="V185" s="206"/>
      <c r="W185" s="206"/>
      <c r="X185" s="206"/>
      <c r="Y185" s="206"/>
      <c r="Z185" s="204"/>
      <c r="AA185" s="204"/>
      <c r="AB185" s="204"/>
      <c r="AC185" s="204"/>
      <c r="AD185" s="204"/>
      <c r="AE185" s="204"/>
      <c r="AF185" s="148" t="s">
        <v>926</v>
      </c>
      <c r="AG185" s="148" t="s">
        <v>960</v>
      </c>
    </row>
    <row r="186" spans="1:33" ht="24.95" customHeight="1" x14ac:dyDescent="0.2">
      <c r="A186" s="158" t="s">
        <v>525</v>
      </c>
      <c r="B186" s="159" t="s">
        <v>1301</v>
      </c>
      <c r="C186" s="160" t="s">
        <v>947</v>
      </c>
      <c r="D186" s="160" t="s">
        <v>947</v>
      </c>
      <c r="E186" s="144" t="s">
        <v>1066</v>
      </c>
      <c r="F186" s="161">
        <f>1230+6625</f>
        <v>7855</v>
      </c>
      <c r="G186" s="162">
        <f>500+6093</f>
        <v>6593</v>
      </c>
      <c r="H186" s="162">
        <v>106</v>
      </c>
      <c r="I186" s="203"/>
      <c r="J186" s="147">
        <v>0</v>
      </c>
      <c r="K186" s="146">
        <v>0</v>
      </c>
      <c r="L186" s="146">
        <v>0</v>
      </c>
      <c r="M186" s="146">
        <v>0</v>
      </c>
      <c r="N186" s="146">
        <v>0</v>
      </c>
      <c r="O186" s="146">
        <v>0</v>
      </c>
      <c r="P186" s="206"/>
      <c r="Q186" s="206"/>
      <c r="R186" s="206"/>
      <c r="S186" s="206"/>
      <c r="T186" s="206"/>
      <c r="U186" s="206"/>
      <c r="V186" s="206"/>
      <c r="W186" s="206"/>
      <c r="X186" s="206"/>
      <c r="Y186" s="206"/>
      <c r="Z186" s="204"/>
      <c r="AA186" s="204"/>
      <c r="AB186" s="204"/>
      <c r="AC186" s="204"/>
      <c r="AD186" s="204"/>
      <c r="AE186" s="204"/>
      <c r="AF186" s="148" t="s">
        <v>1193</v>
      </c>
      <c r="AG186" s="148" t="s">
        <v>927</v>
      </c>
    </row>
    <row r="187" spans="1:33" ht="24.95" customHeight="1" x14ac:dyDescent="0.2">
      <c r="A187" s="158" t="s">
        <v>1302</v>
      </c>
      <c r="B187" s="159" t="s">
        <v>1303</v>
      </c>
      <c r="C187" s="160" t="s">
        <v>947</v>
      </c>
      <c r="D187" s="160" t="s">
        <v>947</v>
      </c>
      <c r="E187" s="144" t="s">
        <v>951</v>
      </c>
      <c r="F187" s="161">
        <v>4199</v>
      </c>
      <c r="G187" s="162">
        <v>3467</v>
      </c>
      <c r="H187" s="162">
        <v>79</v>
      </c>
      <c r="I187" s="203"/>
      <c r="J187" s="147">
        <v>4087</v>
      </c>
      <c r="K187" s="146">
        <v>3467</v>
      </c>
      <c r="L187" s="146">
        <v>76</v>
      </c>
      <c r="M187" s="146">
        <v>0</v>
      </c>
      <c r="N187" s="146">
        <v>0</v>
      </c>
      <c r="O187" s="146">
        <v>0</v>
      </c>
      <c r="P187" s="206"/>
      <c r="Q187" s="206"/>
      <c r="R187" s="206"/>
      <c r="S187" s="206"/>
      <c r="T187" s="206"/>
      <c r="U187" s="206"/>
      <c r="V187" s="206"/>
      <c r="W187" s="206"/>
      <c r="X187" s="206"/>
      <c r="Y187" s="206"/>
      <c r="Z187" s="204"/>
      <c r="AA187" s="204"/>
      <c r="AB187" s="204"/>
      <c r="AC187" s="204"/>
      <c r="AD187" s="204"/>
      <c r="AE187" s="204"/>
      <c r="AF187" s="148" t="s">
        <v>926</v>
      </c>
      <c r="AG187" s="148" t="s">
        <v>960</v>
      </c>
    </row>
    <row r="188" spans="1:33" ht="24.95" customHeight="1" x14ac:dyDescent="0.2">
      <c r="A188" s="158" t="s">
        <v>1304</v>
      </c>
      <c r="B188" s="159" t="s">
        <v>1305</v>
      </c>
      <c r="C188" s="160" t="s">
        <v>923</v>
      </c>
      <c r="D188" s="160" t="s">
        <v>987</v>
      </c>
      <c r="E188" s="144" t="s">
        <v>975</v>
      </c>
      <c r="F188" s="161">
        <v>6258</v>
      </c>
      <c r="G188" s="162">
        <v>5453</v>
      </c>
      <c r="H188" s="162">
        <v>60</v>
      </c>
      <c r="I188" s="203"/>
      <c r="J188" s="147">
        <v>7128</v>
      </c>
      <c r="K188" s="146">
        <v>6220</v>
      </c>
      <c r="L188" s="146">
        <v>0</v>
      </c>
      <c r="M188" s="146">
        <v>0</v>
      </c>
      <c r="N188" s="146">
        <v>2</v>
      </c>
      <c r="O188" s="146">
        <v>0</v>
      </c>
      <c r="P188" s="206"/>
      <c r="Q188" s="206"/>
      <c r="R188" s="206"/>
      <c r="S188" s="206"/>
      <c r="T188" s="206"/>
      <c r="U188" s="206"/>
      <c r="V188" s="206"/>
      <c r="W188" s="206"/>
      <c r="X188" s="206"/>
      <c r="Y188" s="206"/>
      <c r="Z188" s="204"/>
      <c r="AA188" s="204"/>
      <c r="AB188" s="204"/>
      <c r="AC188" s="204"/>
      <c r="AD188" s="204"/>
      <c r="AE188" s="204"/>
      <c r="AF188" s="148" t="s">
        <v>926</v>
      </c>
      <c r="AG188" s="148" t="s">
        <v>960</v>
      </c>
    </row>
    <row r="189" spans="1:33" ht="24.95" customHeight="1" x14ac:dyDescent="0.2">
      <c r="A189" s="158" t="s">
        <v>1306</v>
      </c>
      <c r="B189" s="159" t="s">
        <v>1307</v>
      </c>
      <c r="C189" s="160" t="s">
        <v>930</v>
      </c>
      <c r="D189" s="160" t="s">
        <v>937</v>
      </c>
      <c r="E189" s="144" t="s">
        <v>975</v>
      </c>
      <c r="F189" s="161">
        <v>2203</v>
      </c>
      <c r="G189" s="162">
        <v>2237</v>
      </c>
      <c r="H189" s="162">
        <v>43</v>
      </c>
      <c r="I189" s="203"/>
      <c r="J189" s="147">
        <v>0</v>
      </c>
      <c r="K189" s="146">
        <v>0</v>
      </c>
      <c r="L189" s="146">
        <v>0</v>
      </c>
      <c r="M189" s="146">
        <v>0</v>
      </c>
      <c r="N189" s="146">
        <v>0</v>
      </c>
      <c r="O189" s="146">
        <v>0</v>
      </c>
      <c r="P189" s="206"/>
      <c r="Q189" s="206"/>
      <c r="R189" s="206"/>
      <c r="S189" s="206"/>
      <c r="T189" s="206"/>
      <c r="U189" s="206"/>
      <c r="V189" s="206"/>
      <c r="W189" s="206"/>
      <c r="X189" s="206"/>
      <c r="Y189" s="206"/>
      <c r="Z189" s="204"/>
      <c r="AA189" s="204"/>
      <c r="AB189" s="204"/>
      <c r="AC189" s="204"/>
      <c r="AD189" s="204"/>
      <c r="AE189" s="204"/>
      <c r="AF189" s="148" t="s">
        <v>926</v>
      </c>
      <c r="AG189" s="148" t="s">
        <v>960</v>
      </c>
    </row>
    <row r="190" spans="1:33" ht="24.95" customHeight="1" x14ac:dyDescent="0.2">
      <c r="A190" s="158" t="s">
        <v>1308</v>
      </c>
      <c r="B190" s="159" t="s">
        <v>1309</v>
      </c>
      <c r="C190" s="160" t="s">
        <v>923</v>
      </c>
      <c r="D190" s="160" t="s">
        <v>987</v>
      </c>
      <c r="E190" s="144" t="s">
        <v>975</v>
      </c>
      <c r="F190" s="161">
        <v>1658</v>
      </c>
      <c r="G190" s="162">
        <v>1561</v>
      </c>
      <c r="H190" s="162">
        <v>9</v>
      </c>
      <c r="I190" s="203"/>
      <c r="J190" s="147">
        <v>1892</v>
      </c>
      <c r="K190" s="146">
        <v>1571</v>
      </c>
      <c r="L190" s="146">
        <v>8</v>
      </c>
      <c r="M190" s="146">
        <v>0</v>
      </c>
      <c r="N190" s="146">
        <v>0</v>
      </c>
      <c r="O190" s="146">
        <v>0</v>
      </c>
      <c r="P190" s="206"/>
      <c r="Q190" s="206"/>
      <c r="R190" s="206"/>
      <c r="S190" s="206"/>
      <c r="T190" s="206"/>
      <c r="U190" s="206"/>
      <c r="V190" s="206"/>
      <c r="W190" s="206"/>
      <c r="X190" s="206"/>
      <c r="Y190" s="206"/>
      <c r="Z190" s="204"/>
      <c r="AA190" s="204"/>
      <c r="AB190" s="204"/>
      <c r="AC190" s="204"/>
      <c r="AD190" s="204"/>
      <c r="AE190" s="204"/>
      <c r="AF190" s="148" t="s">
        <v>926</v>
      </c>
      <c r="AG190" s="148" t="s">
        <v>960</v>
      </c>
    </row>
    <row r="191" spans="1:33" ht="24.95" customHeight="1" x14ac:dyDescent="0.2">
      <c r="A191" s="158" t="s">
        <v>1310</v>
      </c>
      <c r="B191" s="159" t="s">
        <v>1311</v>
      </c>
      <c r="C191" s="160" t="s">
        <v>947</v>
      </c>
      <c r="D191" s="160" t="s">
        <v>947</v>
      </c>
      <c r="E191" s="144" t="s">
        <v>948</v>
      </c>
      <c r="F191" s="161">
        <v>0</v>
      </c>
      <c r="G191" s="162">
        <v>5178</v>
      </c>
      <c r="H191" s="162">
        <v>0</v>
      </c>
      <c r="I191" s="203"/>
      <c r="J191" s="147">
        <v>0</v>
      </c>
      <c r="K191" s="146">
        <v>5058</v>
      </c>
      <c r="L191" s="146">
        <v>0</v>
      </c>
      <c r="M191" s="146">
        <v>0</v>
      </c>
      <c r="N191" s="146">
        <v>0</v>
      </c>
      <c r="O191" s="146">
        <v>0</v>
      </c>
      <c r="P191" s="206"/>
      <c r="Q191" s="206"/>
      <c r="R191" s="206"/>
      <c r="S191" s="206"/>
      <c r="T191" s="206"/>
      <c r="U191" s="206"/>
      <c r="V191" s="206"/>
      <c r="W191" s="206"/>
      <c r="X191" s="206"/>
      <c r="Y191" s="206"/>
      <c r="Z191" s="204"/>
      <c r="AA191" s="204"/>
      <c r="AB191" s="204"/>
      <c r="AC191" s="204"/>
      <c r="AD191" s="204"/>
      <c r="AE191" s="204"/>
      <c r="AF191" s="148" t="s">
        <v>1173</v>
      </c>
      <c r="AG191" s="148" t="s">
        <v>960</v>
      </c>
    </row>
    <row r="192" spans="1:33" ht="24.95" customHeight="1" x14ac:dyDescent="0.2">
      <c r="A192" s="158" t="s">
        <v>1312</v>
      </c>
      <c r="B192" s="159" t="s">
        <v>1313</v>
      </c>
      <c r="C192" s="160" t="s">
        <v>947</v>
      </c>
      <c r="D192" s="160" t="s">
        <v>947</v>
      </c>
      <c r="E192" s="144" t="s">
        <v>948</v>
      </c>
      <c r="F192" s="161">
        <v>1440</v>
      </c>
      <c r="G192" s="162">
        <v>1703</v>
      </c>
      <c r="H192" s="162">
        <v>26</v>
      </c>
      <c r="I192" s="203"/>
      <c r="J192" s="147">
        <v>0</v>
      </c>
      <c r="K192" s="146">
        <v>0</v>
      </c>
      <c r="L192" s="146">
        <v>0</v>
      </c>
      <c r="M192" s="146">
        <v>0</v>
      </c>
      <c r="N192" s="146">
        <v>0</v>
      </c>
      <c r="O192" s="146">
        <v>0</v>
      </c>
      <c r="P192" s="206"/>
      <c r="Q192" s="206"/>
      <c r="R192" s="206"/>
      <c r="S192" s="206"/>
      <c r="T192" s="206"/>
      <c r="U192" s="206"/>
      <c r="V192" s="206"/>
      <c r="W192" s="206"/>
      <c r="X192" s="206"/>
      <c r="Y192" s="206"/>
      <c r="Z192" s="204"/>
      <c r="AA192" s="204"/>
      <c r="AB192" s="204"/>
      <c r="AC192" s="204"/>
      <c r="AD192" s="204"/>
      <c r="AE192" s="204"/>
      <c r="AF192" s="148" t="s">
        <v>926</v>
      </c>
      <c r="AG192" s="164" t="s">
        <v>960</v>
      </c>
    </row>
    <row r="193" spans="1:33" ht="24.95" customHeight="1" x14ac:dyDescent="0.2">
      <c r="A193" s="158" t="s">
        <v>1314</v>
      </c>
      <c r="B193" s="159" t="s">
        <v>1315</v>
      </c>
      <c r="C193" s="160" t="s">
        <v>930</v>
      </c>
      <c r="D193" s="160" t="s">
        <v>937</v>
      </c>
      <c r="E193" s="144" t="s">
        <v>925</v>
      </c>
      <c r="F193" s="161">
        <v>2470</v>
      </c>
      <c r="G193" s="162">
        <v>3165</v>
      </c>
      <c r="H193" s="162">
        <v>30</v>
      </c>
      <c r="I193" s="203"/>
      <c r="J193" s="147">
        <v>2841</v>
      </c>
      <c r="K193" s="146">
        <v>3165</v>
      </c>
      <c r="L193" s="146">
        <v>0</v>
      </c>
      <c r="M193" s="146">
        <v>0</v>
      </c>
      <c r="N193" s="146">
        <v>4</v>
      </c>
      <c r="O193" s="146">
        <v>0</v>
      </c>
      <c r="P193" s="206"/>
      <c r="Q193" s="206"/>
      <c r="R193" s="206"/>
      <c r="S193" s="206"/>
      <c r="T193" s="206"/>
      <c r="U193" s="206"/>
      <c r="V193" s="206"/>
      <c r="W193" s="206"/>
      <c r="X193" s="206"/>
      <c r="Y193" s="206"/>
      <c r="Z193" s="204"/>
      <c r="AA193" s="204"/>
      <c r="AB193" s="204"/>
      <c r="AC193" s="204"/>
      <c r="AD193" s="204"/>
      <c r="AE193" s="204"/>
      <c r="AF193" s="148" t="s">
        <v>926</v>
      </c>
      <c r="AG193" s="164" t="s">
        <v>960</v>
      </c>
    </row>
    <row r="194" spans="1:33" ht="24.95" customHeight="1" x14ac:dyDescent="0.2">
      <c r="A194" s="158" t="s">
        <v>1316</v>
      </c>
      <c r="B194" s="159" t="s">
        <v>1317</v>
      </c>
      <c r="C194" s="160" t="s">
        <v>930</v>
      </c>
      <c r="D194" s="160" t="s">
        <v>937</v>
      </c>
      <c r="E194" s="144" t="s">
        <v>975</v>
      </c>
      <c r="F194" s="161">
        <v>1677</v>
      </c>
      <c r="G194" s="162">
        <v>2939</v>
      </c>
      <c r="H194" s="162">
        <v>24</v>
      </c>
      <c r="I194" s="203"/>
      <c r="J194" s="147">
        <v>2058</v>
      </c>
      <c r="K194" s="146">
        <v>2998</v>
      </c>
      <c r="L194" s="146">
        <v>24</v>
      </c>
      <c r="M194" s="146">
        <v>717</v>
      </c>
      <c r="N194" s="146">
        <v>2</v>
      </c>
      <c r="O194" s="146">
        <v>848</v>
      </c>
      <c r="P194" s="206"/>
      <c r="Q194" s="206"/>
      <c r="R194" s="206"/>
      <c r="S194" s="206"/>
      <c r="T194" s="206"/>
      <c r="U194" s="206"/>
      <c r="V194" s="206"/>
      <c r="W194" s="206"/>
      <c r="X194" s="206"/>
      <c r="Y194" s="206"/>
      <c r="Z194" s="204"/>
      <c r="AA194" s="204"/>
      <c r="AB194" s="204"/>
      <c r="AC194" s="204"/>
      <c r="AD194" s="204"/>
      <c r="AE194" s="204"/>
      <c r="AF194" s="148" t="s">
        <v>926</v>
      </c>
      <c r="AG194" s="164" t="s">
        <v>960</v>
      </c>
    </row>
    <row r="195" spans="1:33" ht="24.95" customHeight="1" x14ac:dyDescent="0.2">
      <c r="A195" s="165" t="s">
        <v>1318</v>
      </c>
      <c r="B195" s="159" t="s">
        <v>1319</v>
      </c>
      <c r="C195" s="160" t="s">
        <v>947</v>
      </c>
      <c r="D195" s="160" t="s">
        <v>947</v>
      </c>
      <c r="E195" s="163" t="s">
        <v>1237</v>
      </c>
      <c r="F195" s="161">
        <f>387+5058</f>
        <v>5445</v>
      </c>
      <c r="G195" s="161">
        <f>7+534+103+4621</f>
        <v>5265</v>
      </c>
      <c r="H195" s="162">
        <v>162</v>
      </c>
      <c r="I195" s="203"/>
      <c r="J195" s="147">
        <v>0</v>
      </c>
      <c r="K195" s="146">
        <v>0</v>
      </c>
      <c r="L195" s="146">
        <v>0</v>
      </c>
      <c r="M195" s="146">
        <v>0</v>
      </c>
      <c r="N195" s="146">
        <v>0</v>
      </c>
      <c r="O195" s="146">
        <v>0</v>
      </c>
      <c r="P195" s="206"/>
      <c r="Q195" s="206"/>
      <c r="R195" s="206"/>
      <c r="S195" s="206"/>
      <c r="T195" s="206"/>
      <c r="U195" s="206"/>
      <c r="V195" s="206"/>
      <c r="W195" s="206"/>
      <c r="X195" s="206"/>
      <c r="Y195" s="206"/>
      <c r="Z195" s="206"/>
      <c r="AA195" s="204"/>
      <c r="AB195" s="204"/>
      <c r="AC195" s="204"/>
      <c r="AD195" s="204"/>
      <c r="AE195" s="204"/>
      <c r="AF195" s="148" t="s">
        <v>926</v>
      </c>
      <c r="AG195" s="164" t="s">
        <v>960</v>
      </c>
    </row>
    <row r="196" spans="1:33" ht="24.95" customHeight="1" x14ac:dyDescent="0.2">
      <c r="A196" s="158" t="s">
        <v>1320</v>
      </c>
      <c r="B196" s="159" t="s">
        <v>1321</v>
      </c>
      <c r="C196" s="160" t="s">
        <v>947</v>
      </c>
      <c r="D196" s="160" t="s">
        <v>947</v>
      </c>
      <c r="E196" s="144" t="s">
        <v>1066</v>
      </c>
      <c r="F196" s="161">
        <f>601+3284+1539</f>
        <v>5424</v>
      </c>
      <c r="G196" s="162">
        <v>5337</v>
      </c>
      <c r="H196" s="162">
        <v>161</v>
      </c>
      <c r="I196" s="203"/>
      <c r="J196" s="147">
        <v>0</v>
      </c>
      <c r="K196" s="146">
        <v>0</v>
      </c>
      <c r="L196" s="146">
        <v>0</v>
      </c>
      <c r="M196" s="146">
        <v>0</v>
      </c>
      <c r="N196" s="146">
        <v>0</v>
      </c>
      <c r="O196" s="146">
        <v>0</v>
      </c>
      <c r="P196" s="206"/>
      <c r="Q196" s="206"/>
      <c r="R196" s="206"/>
      <c r="S196" s="206"/>
      <c r="T196" s="206"/>
      <c r="U196" s="206"/>
      <c r="V196" s="206"/>
      <c r="W196" s="206"/>
      <c r="X196" s="206"/>
      <c r="Y196" s="206"/>
      <c r="Z196" s="204"/>
      <c r="AA196" s="204"/>
      <c r="AB196" s="204"/>
      <c r="AC196" s="204"/>
      <c r="AD196" s="204"/>
      <c r="AE196" s="204"/>
      <c r="AF196" s="148" t="s">
        <v>1073</v>
      </c>
      <c r="AG196" s="164"/>
    </row>
    <row r="197" spans="1:33" ht="24.95" customHeight="1" x14ac:dyDescent="0.2">
      <c r="A197" s="165" t="s">
        <v>1322</v>
      </c>
      <c r="B197" s="159" t="s">
        <v>1323</v>
      </c>
      <c r="C197" s="160" t="s">
        <v>947</v>
      </c>
      <c r="D197" s="160" t="s">
        <v>947</v>
      </c>
      <c r="E197" s="144" t="s">
        <v>1066</v>
      </c>
      <c r="F197" s="161">
        <v>3374</v>
      </c>
      <c r="G197" s="166">
        <f>8+5+261+424+2397</f>
        <v>3095</v>
      </c>
      <c r="H197" s="162">
        <v>61</v>
      </c>
      <c r="I197" s="203"/>
      <c r="J197" s="147">
        <v>0</v>
      </c>
      <c r="K197" s="146">
        <v>0</v>
      </c>
      <c r="L197" s="146">
        <v>0</v>
      </c>
      <c r="M197" s="146">
        <v>0</v>
      </c>
      <c r="N197" s="146">
        <v>0</v>
      </c>
      <c r="O197" s="146">
        <v>0</v>
      </c>
      <c r="P197" s="206"/>
      <c r="Q197" s="206"/>
      <c r="R197" s="206"/>
      <c r="S197" s="206"/>
      <c r="T197" s="206"/>
      <c r="U197" s="206"/>
      <c r="V197" s="206"/>
      <c r="W197" s="206"/>
      <c r="X197" s="206"/>
      <c r="Y197" s="206"/>
      <c r="Z197" s="206"/>
      <c r="AA197" s="204"/>
      <c r="AB197" s="204"/>
      <c r="AC197" s="204"/>
      <c r="AD197" s="204"/>
      <c r="AE197" s="204"/>
      <c r="AF197" s="148" t="s">
        <v>1198</v>
      </c>
      <c r="AG197" s="164" t="s">
        <v>960</v>
      </c>
    </row>
    <row r="198" spans="1:33" ht="24.95" customHeight="1" x14ac:dyDescent="0.2">
      <c r="A198" s="165" t="s">
        <v>1324</v>
      </c>
      <c r="B198" s="159" t="s">
        <v>1325</v>
      </c>
      <c r="C198" s="160" t="s">
        <v>947</v>
      </c>
      <c r="D198" s="160" t="s">
        <v>947</v>
      </c>
      <c r="E198" s="144" t="s">
        <v>1066</v>
      </c>
      <c r="F198" s="161">
        <v>4521</v>
      </c>
      <c r="G198" s="166">
        <f>452+1112+739+2478</f>
        <v>4781</v>
      </c>
      <c r="H198" s="162">
        <v>100</v>
      </c>
      <c r="I198" s="203"/>
      <c r="J198" s="147">
        <v>0</v>
      </c>
      <c r="K198" s="146">
        <v>0</v>
      </c>
      <c r="L198" s="146">
        <v>0</v>
      </c>
      <c r="M198" s="146">
        <v>0</v>
      </c>
      <c r="N198" s="146">
        <v>0</v>
      </c>
      <c r="O198" s="146">
        <v>0</v>
      </c>
      <c r="P198" s="206"/>
      <c r="Q198" s="206"/>
      <c r="R198" s="206"/>
      <c r="S198" s="206"/>
      <c r="T198" s="206"/>
      <c r="U198" s="206"/>
      <c r="V198" s="206"/>
      <c r="W198" s="206"/>
      <c r="X198" s="206"/>
      <c r="Y198" s="206"/>
      <c r="Z198" s="206"/>
      <c r="AA198" s="204"/>
      <c r="AB198" s="204"/>
      <c r="AC198" s="204"/>
      <c r="AD198" s="204"/>
      <c r="AE198" s="204"/>
      <c r="AF198" s="148" t="s">
        <v>1198</v>
      </c>
      <c r="AG198" s="164" t="s">
        <v>960</v>
      </c>
    </row>
    <row r="199" spans="1:33" ht="24.95" customHeight="1" x14ac:dyDescent="0.2">
      <c r="A199" s="165" t="s">
        <v>1326</v>
      </c>
      <c r="B199" s="159" t="s">
        <v>1327</v>
      </c>
      <c r="C199" s="160" t="s">
        <v>947</v>
      </c>
      <c r="D199" s="160" t="s">
        <v>947</v>
      </c>
      <c r="E199" s="144" t="s">
        <v>1066</v>
      </c>
      <c r="F199" s="161">
        <f>696+4278</f>
        <v>4974</v>
      </c>
      <c r="G199" s="166">
        <f>668+3943</f>
        <v>4611</v>
      </c>
      <c r="H199" s="162">
        <v>76</v>
      </c>
      <c r="I199" s="203"/>
      <c r="J199" s="147">
        <v>0</v>
      </c>
      <c r="K199" s="146">
        <v>0</v>
      </c>
      <c r="L199" s="146">
        <v>0</v>
      </c>
      <c r="M199" s="146">
        <v>0</v>
      </c>
      <c r="N199" s="146">
        <v>0</v>
      </c>
      <c r="O199" s="146">
        <v>0</v>
      </c>
      <c r="P199" s="206"/>
      <c r="Q199" s="206"/>
      <c r="R199" s="206"/>
      <c r="S199" s="206"/>
      <c r="T199" s="206"/>
      <c r="U199" s="206"/>
      <c r="V199" s="206"/>
      <c r="W199" s="206"/>
      <c r="X199" s="206"/>
      <c r="Y199" s="206"/>
      <c r="Z199" s="206"/>
      <c r="AA199" s="204"/>
      <c r="AB199" s="204"/>
      <c r="AC199" s="204"/>
      <c r="AD199" s="204"/>
      <c r="AE199" s="204"/>
      <c r="AF199" s="148" t="s">
        <v>1173</v>
      </c>
      <c r="AG199" s="164" t="s">
        <v>960</v>
      </c>
    </row>
    <row r="200" spans="1:33" ht="24.95" customHeight="1" x14ac:dyDescent="0.2">
      <c r="A200" s="165" t="s">
        <v>1328</v>
      </c>
      <c r="B200" s="159" t="s">
        <v>1329</v>
      </c>
      <c r="C200" s="160" t="s">
        <v>947</v>
      </c>
      <c r="D200" s="160" t="s">
        <v>947</v>
      </c>
      <c r="E200" s="144" t="s">
        <v>1066</v>
      </c>
      <c r="F200" s="161">
        <f>3451+1366</f>
        <v>4817</v>
      </c>
      <c r="G200" s="166">
        <f>367+4265</f>
        <v>4632</v>
      </c>
      <c r="H200" s="162">
        <v>93</v>
      </c>
      <c r="I200" s="203"/>
      <c r="J200" s="147">
        <v>0</v>
      </c>
      <c r="K200" s="146">
        <v>0</v>
      </c>
      <c r="L200" s="146">
        <v>0</v>
      </c>
      <c r="M200" s="146">
        <v>0</v>
      </c>
      <c r="N200" s="146">
        <v>0</v>
      </c>
      <c r="O200" s="146">
        <v>0</v>
      </c>
      <c r="P200" s="206"/>
      <c r="Q200" s="206"/>
      <c r="R200" s="206"/>
      <c r="S200" s="206"/>
      <c r="T200" s="206"/>
      <c r="U200" s="206"/>
      <c r="V200" s="206"/>
      <c r="W200" s="206"/>
      <c r="X200" s="206"/>
      <c r="Y200" s="206"/>
      <c r="Z200" s="206"/>
      <c r="AA200" s="204"/>
      <c r="AB200" s="204"/>
      <c r="AC200" s="204"/>
      <c r="AD200" s="204"/>
      <c r="AE200" s="204"/>
      <c r="AF200" s="148" t="s">
        <v>1173</v>
      </c>
      <c r="AG200" s="164" t="s">
        <v>960</v>
      </c>
    </row>
    <row r="201" spans="1:33" ht="24.95" customHeight="1" x14ac:dyDescent="0.2">
      <c r="A201" s="165" t="s">
        <v>1330</v>
      </c>
      <c r="B201" s="159" t="s">
        <v>1331</v>
      </c>
      <c r="C201" s="160" t="s">
        <v>947</v>
      </c>
      <c r="D201" s="160" t="s">
        <v>947</v>
      </c>
      <c r="E201" s="144" t="s">
        <v>1066</v>
      </c>
      <c r="F201" s="161">
        <f>2542+1396</f>
        <v>3938</v>
      </c>
      <c r="G201" s="166">
        <f>1096+2871</f>
        <v>3967</v>
      </c>
      <c r="H201" s="162">
        <v>81</v>
      </c>
      <c r="I201" s="203"/>
      <c r="J201" s="147">
        <v>0</v>
      </c>
      <c r="K201" s="146">
        <v>0</v>
      </c>
      <c r="L201" s="146">
        <v>0</v>
      </c>
      <c r="M201" s="146">
        <v>0</v>
      </c>
      <c r="N201" s="146">
        <v>0</v>
      </c>
      <c r="O201" s="146">
        <v>0</v>
      </c>
      <c r="P201" s="206"/>
      <c r="Q201" s="206"/>
      <c r="R201" s="206"/>
      <c r="S201" s="206"/>
      <c r="T201" s="206"/>
      <c r="U201" s="206"/>
      <c r="V201" s="206"/>
      <c r="W201" s="206"/>
      <c r="X201" s="206"/>
      <c r="Y201" s="206"/>
      <c r="Z201" s="206"/>
      <c r="AA201" s="204"/>
      <c r="AB201" s="204"/>
      <c r="AC201" s="204"/>
      <c r="AD201" s="204"/>
      <c r="AE201" s="204"/>
      <c r="AF201" s="148" t="s">
        <v>1173</v>
      </c>
      <c r="AG201" s="164" t="s">
        <v>960</v>
      </c>
    </row>
    <row r="202" spans="1:33" ht="24.95" customHeight="1" x14ac:dyDescent="0.2">
      <c r="A202" s="165" t="s">
        <v>1332</v>
      </c>
      <c r="B202" s="159" t="s">
        <v>1333</v>
      </c>
      <c r="C202" s="160" t="s">
        <v>947</v>
      </c>
      <c r="D202" s="160" t="s">
        <v>947</v>
      </c>
      <c r="E202" s="144" t="s">
        <v>1066</v>
      </c>
      <c r="F202" s="161">
        <v>2135</v>
      </c>
      <c r="G202" s="166">
        <f>43+158+864+1+2379+1428</f>
        <v>4873</v>
      </c>
      <c r="H202" s="162">
        <f>1+12</f>
        <v>13</v>
      </c>
      <c r="I202" s="203"/>
      <c r="J202" s="147">
        <v>0</v>
      </c>
      <c r="K202" s="146">
        <v>0</v>
      </c>
      <c r="L202" s="146">
        <v>0</v>
      </c>
      <c r="M202" s="146">
        <v>0</v>
      </c>
      <c r="N202" s="146">
        <v>0</v>
      </c>
      <c r="O202" s="146">
        <v>0</v>
      </c>
      <c r="P202" s="206"/>
      <c r="Q202" s="206"/>
      <c r="R202" s="206"/>
      <c r="S202" s="206"/>
      <c r="T202" s="206"/>
      <c r="U202" s="206"/>
      <c r="V202" s="206"/>
      <c r="W202" s="206"/>
      <c r="X202" s="206"/>
      <c r="Y202" s="206"/>
      <c r="Z202" s="206"/>
      <c r="AA202" s="204"/>
      <c r="AB202" s="204"/>
      <c r="AC202" s="204"/>
      <c r="AD202" s="204"/>
      <c r="AE202" s="204"/>
      <c r="AF202" s="148" t="s">
        <v>926</v>
      </c>
      <c r="AG202" s="164" t="s">
        <v>960</v>
      </c>
    </row>
    <row r="203" spans="1:33" ht="24.95" customHeight="1" x14ac:dyDescent="0.2">
      <c r="A203" s="165" t="s">
        <v>1334</v>
      </c>
      <c r="B203" s="159" t="s">
        <v>1335</v>
      </c>
      <c r="C203" s="160" t="s">
        <v>930</v>
      </c>
      <c r="D203" s="160" t="s">
        <v>1182</v>
      </c>
      <c r="E203" s="163" t="s">
        <v>975</v>
      </c>
      <c r="F203" s="161">
        <v>4583</v>
      </c>
      <c r="G203" s="166">
        <f>1730+2994</f>
        <v>4724</v>
      </c>
      <c r="H203" s="162">
        <v>59</v>
      </c>
      <c r="I203" s="203"/>
      <c r="J203" s="147">
        <v>0</v>
      </c>
      <c r="K203" s="146">
        <v>0</v>
      </c>
      <c r="L203" s="146">
        <v>0</v>
      </c>
      <c r="M203" s="146">
        <v>0</v>
      </c>
      <c r="N203" s="146">
        <v>0</v>
      </c>
      <c r="O203" s="146">
        <v>0</v>
      </c>
      <c r="P203" s="206"/>
      <c r="Q203" s="206"/>
      <c r="R203" s="206"/>
      <c r="S203" s="206"/>
      <c r="T203" s="206"/>
      <c r="U203" s="206"/>
      <c r="V203" s="206"/>
      <c r="W203" s="206"/>
      <c r="X203" s="206"/>
      <c r="Y203" s="206"/>
      <c r="Z203" s="206"/>
      <c r="AA203" s="204"/>
      <c r="AB203" s="204"/>
      <c r="AC203" s="204"/>
      <c r="AD203" s="204"/>
      <c r="AE203" s="204"/>
      <c r="AF203" s="148" t="s">
        <v>1073</v>
      </c>
      <c r="AG203" s="164" t="s">
        <v>960</v>
      </c>
    </row>
    <row r="204" spans="1:33" ht="24.95" customHeight="1" x14ac:dyDescent="0.2">
      <c r="A204" s="165" t="s">
        <v>1336</v>
      </c>
      <c r="B204" s="159" t="s">
        <v>1337</v>
      </c>
      <c r="C204" s="160" t="s">
        <v>930</v>
      </c>
      <c r="D204" s="160" t="s">
        <v>1182</v>
      </c>
      <c r="E204" s="163" t="s">
        <v>975</v>
      </c>
      <c r="F204" s="161">
        <f>1075+940</f>
        <v>2015</v>
      </c>
      <c r="G204" s="166">
        <f>92+2061</f>
        <v>2153</v>
      </c>
      <c r="H204" s="162">
        <v>25</v>
      </c>
      <c r="I204" s="203"/>
      <c r="J204" s="147">
        <v>0</v>
      </c>
      <c r="K204" s="146">
        <v>0</v>
      </c>
      <c r="L204" s="146">
        <v>0</v>
      </c>
      <c r="M204" s="146">
        <v>0</v>
      </c>
      <c r="N204" s="146">
        <v>0</v>
      </c>
      <c r="O204" s="146">
        <v>0</v>
      </c>
      <c r="P204" s="206"/>
      <c r="Q204" s="206"/>
      <c r="R204" s="206"/>
      <c r="S204" s="206"/>
      <c r="T204" s="206"/>
      <c r="U204" s="206"/>
      <c r="V204" s="206"/>
      <c r="W204" s="206"/>
      <c r="X204" s="206"/>
      <c r="Y204" s="206"/>
      <c r="Z204" s="206"/>
      <c r="AA204" s="204"/>
      <c r="AB204" s="204"/>
      <c r="AC204" s="204"/>
      <c r="AD204" s="204"/>
      <c r="AE204" s="204"/>
      <c r="AF204" s="148" t="s">
        <v>1173</v>
      </c>
      <c r="AG204" s="164" t="s">
        <v>960</v>
      </c>
    </row>
    <row r="205" spans="1:33" ht="24.95" customHeight="1" x14ac:dyDescent="0.2">
      <c r="A205" s="165" t="s">
        <v>1338</v>
      </c>
      <c r="B205" s="159" t="s">
        <v>1339</v>
      </c>
      <c r="C205" s="160" t="s">
        <v>930</v>
      </c>
      <c r="D205" s="160" t="s">
        <v>937</v>
      </c>
      <c r="E205" s="163" t="s">
        <v>975</v>
      </c>
      <c r="F205" s="161">
        <f>2683+2400</f>
        <v>5083</v>
      </c>
      <c r="G205" s="166">
        <f>1582+2841+112+4+5</f>
        <v>4544</v>
      </c>
      <c r="H205" s="162">
        <f>11+52</f>
        <v>63</v>
      </c>
      <c r="I205" s="203"/>
      <c r="J205" s="147">
        <v>5146</v>
      </c>
      <c r="K205" s="146">
        <v>4739</v>
      </c>
      <c r="L205" s="146">
        <v>0</v>
      </c>
      <c r="M205" s="146">
        <v>65</v>
      </c>
      <c r="N205" s="146">
        <v>0</v>
      </c>
      <c r="O205" s="146">
        <v>66</v>
      </c>
      <c r="P205" s="206"/>
      <c r="Q205" s="206"/>
      <c r="R205" s="206"/>
      <c r="S205" s="206"/>
      <c r="T205" s="206"/>
      <c r="U205" s="206"/>
      <c r="V205" s="206"/>
      <c r="W205" s="206"/>
      <c r="X205" s="206"/>
      <c r="Y205" s="206"/>
      <c r="Z205" s="206"/>
      <c r="AA205" s="204"/>
      <c r="AB205" s="204"/>
      <c r="AC205" s="204"/>
      <c r="AD205" s="204"/>
      <c r="AE205" s="204"/>
      <c r="AF205" s="148" t="s">
        <v>926</v>
      </c>
      <c r="AG205" s="164" t="s">
        <v>960</v>
      </c>
    </row>
    <row r="206" spans="1:33" ht="24.95" customHeight="1" x14ac:dyDescent="0.2">
      <c r="A206" s="165" t="s">
        <v>1340</v>
      </c>
      <c r="B206" s="159" t="s">
        <v>1341</v>
      </c>
      <c r="C206" s="160" t="s">
        <v>930</v>
      </c>
      <c r="D206" s="160" t="s">
        <v>930</v>
      </c>
      <c r="E206" s="163" t="s">
        <v>975</v>
      </c>
      <c r="F206" s="161">
        <f>1440+5205</f>
        <v>6645</v>
      </c>
      <c r="G206" s="166">
        <f>280+1820+426+3446</f>
        <v>5972</v>
      </c>
      <c r="H206" s="162">
        <v>5665</v>
      </c>
      <c r="I206" s="203"/>
      <c r="J206" s="147">
        <v>0</v>
      </c>
      <c r="K206" s="146">
        <v>0</v>
      </c>
      <c r="L206" s="146">
        <v>0</v>
      </c>
      <c r="M206" s="146">
        <v>0</v>
      </c>
      <c r="N206" s="146">
        <v>0</v>
      </c>
      <c r="O206" s="146">
        <v>0</v>
      </c>
      <c r="P206" s="206"/>
      <c r="Q206" s="206"/>
      <c r="R206" s="206"/>
      <c r="S206" s="206"/>
      <c r="T206" s="206"/>
      <c r="U206" s="206"/>
      <c r="V206" s="206"/>
      <c r="W206" s="206"/>
      <c r="X206" s="206"/>
      <c r="Y206" s="206"/>
      <c r="Z206" s="206"/>
      <c r="AA206" s="204"/>
      <c r="AB206" s="204"/>
      <c r="AC206" s="204"/>
      <c r="AD206" s="204"/>
      <c r="AE206" s="204"/>
      <c r="AF206" s="148" t="s">
        <v>1073</v>
      </c>
      <c r="AG206" s="164" t="s">
        <v>960</v>
      </c>
    </row>
    <row r="207" spans="1:33" ht="24.95" customHeight="1" x14ac:dyDescent="0.2">
      <c r="A207" s="165" t="s">
        <v>1342</v>
      </c>
      <c r="B207" s="159" t="s">
        <v>1343</v>
      </c>
      <c r="C207" s="160" t="s">
        <v>930</v>
      </c>
      <c r="D207" s="160" t="s">
        <v>930</v>
      </c>
      <c r="E207" s="163" t="s">
        <v>1020</v>
      </c>
      <c r="F207" s="161">
        <v>2385</v>
      </c>
      <c r="G207" s="162">
        <f>635+2+1924</f>
        <v>2561</v>
      </c>
      <c r="H207" s="162">
        <v>37</v>
      </c>
      <c r="I207" s="203"/>
      <c r="J207" s="147">
        <v>0</v>
      </c>
      <c r="K207" s="146">
        <v>0</v>
      </c>
      <c r="L207" s="146">
        <v>0</v>
      </c>
      <c r="M207" s="146">
        <v>0</v>
      </c>
      <c r="N207" s="146">
        <v>0</v>
      </c>
      <c r="O207" s="146">
        <v>0</v>
      </c>
      <c r="P207" s="206"/>
      <c r="Q207" s="206"/>
      <c r="R207" s="206"/>
      <c r="S207" s="206"/>
      <c r="T207" s="206"/>
      <c r="U207" s="206"/>
      <c r="V207" s="206"/>
      <c r="W207" s="206"/>
      <c r="X207" s="206"/>
      <c r="Y207" s="206"/>
      <c r="Z207" s="206"/>
      <c r="AA207" s="204"/>
      <c r="AB207" s="204"/>
      <c r="AC207" s="204"/>
      <c r="AD207" s="204"/>
      <c r="AE207" s="204"/>
      <c r="AF207" s="148" t="s">
        <v>926</v>
      </c>
      <c r="AG207" s="164" t="s">
        <v>960</v>
      </c>
    </row>
    <row r="208" spans="1:33" ht="24.95" customHeight="1" x14ac:dyDescent="0.2">
      <c r="A208" s="165" t="s">
        <v>1344</v>
      </c>
      <c r="B208" s="159" t="s">
        <v>1345</v>
      </c>
      <c r="C208" s="160" t="s">
        <v>947</v>
      </c>
      <c r="D208" s="160" t="s">
        <v>947</v>
      </c>
      <c r="E208" s="163" t="s">
        <v>951</v>
      </c>
      <c r="F208" s="161">
        <v>5691</v>
      </c>
      <c r="G208" s="162" t="s">
        <v>1346</v>
      </c>
      <c r="H208" s="162">
        <v>134</v>
      </c>
      <c r="I208" s="203"/>
      <c r="J208" s="147">
        <v>0</v>
      </c>
      <c r="K208" s="146">
        <v>0</v>
      </c>
      <c r="L208" s="146">
        <v>0</v>
      </c>
      <c r="M208" s="146">
        <v>0</v>
      </c>
      <c r="N208" s="146">
        <v>0</v>
      </c>
      <c r="O208" s="146">
        <v>0</v>
      </c>
      <c r="P208" s="206"/>
      <c r="Q208" s="206"/>
      <c r="R208" s="206"/>
      <c r="S208" s="206"/>
      <c r="T208" s="206"/>
      <c r="U208" s="206"/>
      <c r="V208" s="206"/>
      <c r="W208" s="206"/>
      <c r="X208" s="206"/>
      <c r="Y208" s="206"/>
      <c r="Z208" s="206"/>
      <c r="AA208" s="204"/>
      <c r="AB208" s="204"/>
      <c r="AC208" s="204"/>
      <c r="AD208" s="204"/>
      <c r="AE208" s="204"/>
      <c r="AF208" s="148" t="s">
        <v>1073</v>
      </c>
      <c r="AG208" s="164" t="s">
        <v>960</v>
      </c>
    </row>
    <row r="209" spans="1:33" ht="24.95" customHeight="1" x14ac:dyDescent="0.2">
      <c r="A209" s="167" t="s">
        <v>1347</v>
      </c>
      <c r="B209" s="159" t="s">
        <v>1348</v>
      </c>
      <c r="C209" s="160" t="s">
        <v>947</v>
      </c>
      <c r="D209" s="160" t="s">
        <v>947</v>
      </c>
      <c r="E209" s="163" t="s">
        <v>948</v>
      </c>
      <c r="F209" s="161">
        <v>0</v>
      </c>
      <c r="G209" s="162">
        <v>676</v>
      </c>
      <c r="H209" s="162">
        <v>0</v>
      </c>
      <c r="I209" s="203"/>
      <c r="J209" s="147">
        <v>3919</v>
      </c>
      <c r="K209" s="146">
        <v>4553</v>
      </c>
      <c r="L209" s="146">
        <v>3</v>
      </c>
      <c r="M209" s="146">
        <v>0</v>
      </c>
      <c r="N209" s="146">
        <v>0</v>
      </c>
      <c r="O209" s="146">
        <v>0</v>
      </c>
      <c r="P209" s="206"/>
      <c r="Q209" s="206"/>
      <c r="R209" s="206"/>
      <c r="S209" s="206"/>
      <c r="T209" s="206"/>
      <c r="U209" s="206"/>
      <c r="V209" s="206"/>
      <c r="W209" s="206"/>
      <c r="X209" s="206"/>
      <c r="Y209" s="206"/>
      <c r="Z209" s="206"/>
      <c r="AA209" s="204"/>
      <c r="AB209" s="204"/>
      <c r="AC209" s="204"/>
      <c r="AD209" s="204"/>
      <c r="AE209" s="204"/>
      <c r="AF209" s="148" t="s">
        <v>1173</v>
      </c>
      <c r="AG209" s="164" t="s">
        <v>960</v>
      </c>
    </row>
    <row r="210" spans="1:33" ht="24.95" customHeight="1" x14ac:dyDescent="0.2">
      <c r="A210" s="167" t="s">
        <v>1349</v>
      </c>
      <c r="B210" s="159" t="s">
        <v>1350</v>
      </c>
      <c r="C210" s="160" t="s">
        <v>947</v>
      </c>
      <c r="D210" s="160" t="s">
        <v>947</v>
      </c>
      <c r="E210" s="163" t="s">
        <v>951</v>
      </c>
      <c r="F210" s="161">
        <v>3630</v>
      </c>
      <c r="G210" s="162">
        <v>3933</v>
      </c>
      <c r="H210" s="162">
        <v>62</v>
      </c>
      <c r="I210" s="203"/>
      <c r="J210" s="147">
        <v>3919</v>
      </c>
      <c r="K210" s="146">
        <v>4553</v>
      </c>
      <c r="L210" s="146">
        <v>0</v>
      </c>
      <c r="M210" s="146">
        <v>0</v>
      </c>
      <c r="N210" s="146">
        <v>3</v>
      </c>
      <c r="O210" s="146">
        <v>0</v>
      </c>
      <c r="P210" s="206"/>
      <c r="Q210" s="206"/>
      <c r="R210" s="206"/>
      <c r="S210" s="206"/>
      <c r="T210" s="206"/>
      <c r="U210" s="206"/>
      <c r="V210" s="206"/>
      <c r="W210" s="206"/>
      <c r="X210" s="206"/>
      <c r="Y210" s="206"/>
      <c r="Z210" s="206"/>
      <c r="AA210" s="204"/>
      <c r="AB210" s="204"/>
      <c r="AC210" s="204"/>
      <c r="AD210" s="204"/>
      <c r="AE210" s="204"/>
      <c r="AF210" s="148" t="s">
        <v>926</v>
      </c>
      <c r="AG210" s="164" t="s">
        <v>960</v>
      </c>
    </row>
    <row r="211" spans="1:33" ht="24.95" customHeight="1" x14ac:dyDescent="0.2">
      <c r="A211" s="167" t="s">
        <v>1351</v>
      </c>
      <c r="B211" s="159" t="s">
        <v>1352</v>
      </c>
      <c r="C211" s="160" t="s">
        <v>947</v>
      </c>
      <c r="D211" s="160" t="s">
        <v>947</v>
      </c>
      <c r="E211" s="144" t="s">
        <v>1066</v>
      </c>
      <c r="F211" s="161">
        <v>4607</v>
      </c>
      <c r="G211" s="162">
        <f>1583+17+38+648+2921</f>
        <v>5207</v>
      </c>
      <c r="H211" s="162">
        <v>137</v>
      </c>
      <c r="I211" s="203"/>
      <c r="J211" s="147">
        <v>0</v>
      </c>
      <c r="K211" s="146">
        <v>0</v>
      </c>
      <c r="L211" s="146">
        <v>0</v>
      </c>
      <c r="M211" s="146">
        <v>0</v>
      </c>
      <c r="N211" s="146">
        <v>0</v>
      </c>
      <c r="O211" s="146">
        <v>0</v>
      </c>
      <c r="P211" s="206"/>
      <c r="Q211" s="206"/>
      <c r="R211" s="206"/>
      <c r="S211" s="206"/>
      <c r="T211" s="206"/>
      <c r="U211" s="206"/>
      <c r="V211" s="206"/>
      <c r="W211" s="206"/>
      <c r="X211" s="206"/>
      <c r="Y211" s="206"/>
      <c r="Z211" s="206"/>
      <c r="AA211" s="204"/>
      <c r="AB211" s="204"/>
      <c r="AC211" s="204"/>
      <c r="AD211" s="204"/>
      <c r="AE211" s="204"/>
      <c r="AF211" s="148" t="s">
        <v>1073</v>
      </c>
      <c r="AG211" s="164"/>
    </row>
    <row r="212" spans="1:33" ht="24.95" customHeight="1" x14ac:dyDescent="0.2">
      <c r="A212" s="167" t="s">
        <v>1353</v>
      </c>
      <c r="B212" s="159" t="s">
        <v>1354</v>
      </c>
      <c r="C212" s="160" t="s">
        <v>930</v>
      </c>
      <c r="D212" s="160" t="s">
        <v>930</v>
      </c>
      <c r="E212" s="163" t="s">
        <v>975</v>
      </c>
      <c r="F212" s="161">
        <f>95+2245+1590</f>
        <v>3930</v>
      </c>
      <c r="G212" s="162">
        <v>5932</v>
      </c>
      <c r="H212" s="162">
        <v>33</v>
      </c>
      <c r="I212" s="203"/>
      <c r="J212" s="147">
        <v>0</v>
      </c>
      <c r="K212" s="146">
        <v>0</v>
      </c>
      <c r="L212" s="146">
        <v>0</v>
      </c>
      <c r="M212" s="146">
        <v>0</v>
      </c>
      <c r="N212" s="146">
        <v>0</v>
      </c>
      <c r="O212" s="146">
        <v>0</v>
      </c>
      <c r="P212" s="206"/>
      <c r="Q212" s="206"/>
      <c r="R212" s="206"/>
      <c r="S212" s="206"/>
      <c r="T212" s="206"/>
      <c r="U212" s="206"/>
      <c r="V212" s="206"/>
      <c r="W212" s="206"/>
      <c r="X212" s="206"/>
      <c r="Y212" s="206"/>
      <c r="Z212" s="206"/>
      <c r="AA212" s="204"/>
      <c r="AB212" s="204"/>
      <c r="AC212" s="204"/>
      <c r="AD212" s="204"/>
      <c r="AE212" s="204"/>
      <c r="AF212" s="148" t="s">
        <v>1073</v>
      </c>
      <c r="AG212" s="164" t="s">
        <v>960</v>
      </c>
    </row>
    <row r="213" spans="1:33" ht="24.95" customHeight="1" x14ac:dyDescent="0.2">
      <c r="A213" s="167" t="s">
        <v>1355</v>
      </c>
      <c r="B213" s="159" t="s">
        <v>1356</v>
      </c>
      <c r="C213" s="160" t="s">
        <v>930</v>
      </c>
      <c r="D213" s="160" t="s">
        <v>930</v>
      </c>
      <c r="E213" s="163" t="s">
        <v>975</v>
      </c>
      <c r="F213" s="161">
        <f>45+810</f>
        <v>855</v>
      </c>
      <c r="G213" s="162">
        <f>10+290+7380+1+2</f>
        <v>7683</v>
      </c>
      <c r="H213" s="162">
        <v>5780</v>
      </c>
      <c r="I213" s="203"/>
      <c r="J213" s="147">
        <v>0</v>
      </c>
      <c r="K213" s="146">
        <v>0</v>
      </c>
      <c r="L213" s="146">
        <v>0</v>
      </c>
      <c r="M213" s="146">
        <v>0</v>
      </c>
      <c r="N213" s="146">
        <v>0</v>
      </c>
      <c r="O213" s="146">
        <v>0</v>
      </c>
      <c r="P213" s="206"/>
      <c r="Q213" s="206"/>
      <c r="R213" s="206"/>
      <c r="S213" s="206"/>
      <c r="T213" s="206"/>
      <c r="U213" s="206"/>
      <c r="V213" s="206"/>
      <c r="W213" s="206"/>
      <c r="X213" s="206"/>
      <c r="Y213" s="206"/>
      <c r="Z213" s="206"/>
      <c r="AA213" s="204"/>
      <c r="AB213" s="204"/>
      <c r="AC213" s="204"/>
      <c r="AD213" s="204"/>
      <c r="AE213" s="204"/>
      <c r="AF213" s="148" t="s">
        <v>1073</v>
      </c>
      <c r="AG213" s="164"/>
    </row>
    <row r="214" spans="1:33" ht="24.95" customHeight="1" x14ac:dyDescent="0.2">
      <c r="A214" s="167" t="s">
        <v>1357</v>
      </c>
      <c r="B214" s="159" t="s">
        <v>1358</v>
      </c>
      <c r="C214" s="160" t="s">
        <v>923</v>
      </c>
      <c r="D214" s="160" t="s">
        <v>987</v>
      </c>
      <c r="E214" s="144" t="s">
        <v>925</v>
      </c>
      <c r="F214" s="145">
        <v>3624</v>
      </c>
      <c r="G214" s="162">
        <v>4414</v>
      </c>
      <c r="H214" s="162">
        <v>48</v>
      </c>
      <c r="I214" s="203"/>
      <c r="J214" s="147">
        <v>4277</v>
      </c>
      <c r="K214" s="146">
        <v>4428</v>
      </c>
      <c r="L214" s="146">
        <v>5</v>
      </c>
      <c r="M214" s="146">
        <v>0</v>
      </c>
      <c r="N214" s="146">
        <v>0</v>
      </c>
      <c r="O214" s="146">
        <v>0</v>
      </c>
      <c r="P214" s="206"/>
      <c r="Q214" s="206"/>
      <c r="R214" s="206"/>
      <c r="S214" s="206"/>
      <c r="T214" s="206"/>
      <c r="U214" s="206"/>
      <c r="V214" s="206"/>
      <c r="W214" s="206"/>
      <c r="X214" s="206"/>
      <c r="Y214" s="206"/>
      <c r="Z214" s="206"/>
      <c r="AA214" s="204"/>
      <c r="AB214" s="204"/>
      <c r="AC214" s="204"/>
      <c r="AD214" s="204"/>
      <c r="AE214" s="204"/>
      <c r="AF214" s="148" t="s">
        <v>926</v>
      </c>
      <c r="AG214" s="164" t="s">
        <v>960</v>
      </c>
    </row>
    <row r="215" spans="1:33" ht="24.95" customHeight="1" x14ac:dyDescent="0.2">
      <c r="A215" s="167" t="s">
        <v>1359</v>
      </c>
      <c r="B215" s="159" t="s">
        <v>1360</v>
      </c>
      <c r="C215" s="160" t="s">
        <v>930</v>
      </c>
      <c r="D215" s="160" t="s">
        <v>937</v>
      </c>
      <c r="E215" s="144" t="s">
        <v>975</v>
      </c>
      <c r="F215" s="145">
        <f>6415+2356</f>
        <v>8771</v>
      </c>
      <c r="G215" s="162">
        <f>451+4710+195+3+8</f>
        <v>5367</v>
      </c>
      <c r="H215" s="162">
        <f>21+60</f>
        <v>81</v>
      </c>
      <c r="I215" s="203"/>
      <c r="J215" s="147">
        <v>5652</v>
      </c>
      <c r="K215" s="146">
        <v>5369</v>
      </c>
      <c r="L215" s="146">
        <v>0</v>
      </c>
      <c r="M215" s="146">
        <v>84</v>
      </c>
      <c r="N215" s="146">
        <v>0</v>
      </c>
      <c r="O215" s="146">
        <v>85</v>
      </c>
      <c r="P215" s="206"/>
      <c r="Q215" s="206"/>
      <c r="R215" s="206"/>
      <c r="S215" s="206"/>
      <c r="T215" s="206"/>
      <c r="U215" s="206"/>
      <c r="V215" s="206"/>
      <c r="W215" s="206"/>
      <c r="X215" s="206"/>
      <c r="Y215" s="206"/>
      <c r="Z215" s="206"/>
      <c r="AA215" s="204"/>
      <c r="AB215" s="204"/>
      <c r="AC215" s="204"/>
      <c r="AD215" s="204"/>
      <c r="AE215" s="204"/>
      <c r="AF215" s="148" t="s">
        <v>926</v>
      </c>
      <c r="AG215" s="164" t="s">
        <v>960</v>
      </c>
    </row>
    <row r="216" spans="1:33" ht="24.95" customHeight="1" x14ac:dyDescent="0.2">
      <c r="A216" s="167" t="s">
        <v>1361</v>
      </c>
      <c r="B216" s="159" t="s">
        <v>1362</v>
      </c>
      <c r="C216" s="160" t="s">
        <v>930</v>
      </c>
      <c r="D216" s="160" t="s">
        <v>930</v>
      </c>
      <c r="E216" s="144" t="s">
        <v>1020</v>
      </c>
      <c r="F216" s="145">
        <v>0</v>
      </c>
      <c r="G216" s="162">
        <f>205+375+535+795+1145+2</f>
        <v>3057</v>
      </c>
      <c r="H216" s="162">
        <v>185</v>
      </c>
      <c r="I216" s="203"/>
      <c r="J216" s="147">
        <v>0</v>
      </c>
      <c r="K216" s="146">
        <v>0</v>
      </c>
      <c r="L216" s="146">
        <v>0</v>
      </c>
      <c r="M216" s="146">
        <v>0</v>
      </c>
      <c r="N216" s="146">
        <v>0</v>
      </c>
      <c r="O216" s="146">
        <v>0</v>
      </c>
      <c r="P216" s="206"/>
      <c r="Q216" s="206"/>
      <c r="R216" s="206"/>
      <c r="S216" s="206"/>
      <c r="T216" s="206"/>
      <c r="U216" s="206"/>
      <c r="V216" s="206"/>
      <c r="W216" s="206"/>
      <c r="X216" s="206"/>
      <c r="Y216" s="206"/>
      <c r="Z216" s="206"/>
      <c r="AA216" s="204"/>
      <c r="AB216" s="204"/>
      <c r="AC216" s="204"/>
      <c r="AD216" s="204"/>
      <c r="AE216" s="204"/>
      <c r="AF216" s="148" t="s">
        <v>926</v>
      </c>
      <c r="AG216" s="164" t="s">
        <v>960</v>
      </c>
    </row>
    <row r="217" spans="1:33" ht="24.95" customHeight="1" x14ac:dyDescent="0.2">
      <c r="A217" s="167" t="s">
        <v>1363</v>
      </c>
      <c r="B217" s="159" t="s">
        <v>1364</v>
      </c>
      <c r="C217" s="160" t="s">
        <v>930</v>
      </c>
      <c r="D217" s="160" t="s">
        <v>930</v>
      </c>
      <c r="E217" s="144" t="s">
        <v>1020</v>
      </c>
      <c r="F217" s="145">
        <f>1045+5495</f>
        <v>6540</v>
      </c>
      <c r="G217" s="162">
        <f>610+1430+1+3182</f>
        <v>5223</v>
      </c>
      <c r="H217" s="162">
        <v>114</v>
      </c>
      <c r="I217" s="203"/>
      <c r="J217" s="147">
        <v>0</v>
      </c>
      <c r="K217" s="147">
        <v>0</v>
      </c>
      <c r="L217" s="147">
        <v>0</v>
      </c>
      <c r="M217" s="147">
        <v>0</v>
      </c>
      <c r="N217" s="147">
        <v>0</v>
      </c>
      <c r="O217" s="147">
        <v>0</v>
      </c>
      <c r="P217" s="207"/>
      <c r="Q217" s="207"/>
      <c r="R217" s="207"/>
      <c r="S217" s="207"/>
      <c r="T217" s="207"/>
      <c r="U217" s="207"/>
      <c r="V217" s="207"/>
      <c r="W217" s="207"/>
      <c r="X217" s="207"/>
      <c r="Y217" s="207"/>
      <c r="Z217" s="207"/>
      <c r="AA217" s="204"/>
      <c r="AB217" s="204"/>
      <c r="AC217" s="204"/>
      <c r="AD217" s="204"/>
      <c r="AE217" s="204"/>
      <c r="AF217" s="148" t="s">
        <v>1173</v>
      </c>
      <c r="AG217" s="164" t="s">
        <v>960</v>
      </c>
    </row>
    <row r="218" spans="1:33" ht="24.95" customHeight="1" x14ac:dyDescent="0.2">
      <c r="A218" s="167" t="s">
        <v>1365</v>
      </c>
      <c r="B218" s="159" t="s">
        <v>1366</v>
      </c>
      <c r="C218" s="160" t="s">
        <v>930</v>
      </c>
      <c r="D218" s="160" t="s">
        <v>937</v>
      </c>
      <c r="E218" s="144" t="s">
        <v>975</v>
      </c>
      <c r="F218" s="145">
        <f>880+1965</f>
        <v>2845</v>
      </c>
      <c r="G218" s="162">
        <f>1307+1968+4+1+47+3</f>
        <v>3330</v>
      </c>
      <c r="H218" s="162">
        <f>8+34</f>
        <v>42</v>
      </c>
      <c r="I218" s="203"/>
      <c r="J218" s="147">
        <v>0</v>
      </c>
      <c r="K218" s="147">
        <v>0</v>
      </c>
      <c r="L218" s="147">
        <v>0</v>
      </c>
      <c r="M218" s="147">
        <v>0</v>
      </c>
      <c r="N218" s="147">
        <v>0</v>
      </c>
      <c r="O218" s="147">
        <v>0</v>
      </c>
      <c r="P218" s="207"/>
      <c r="Q218" s="207"/>
      <c r="R218" s="207"/>
      <c r="S218" s="207"/>
      <c r="T218" s="207"/>
      <c r="U218" s="207"/>
      <c r="V218" s="207"/>
      <c r="W218" s="207"/>
      <c r="X218" s="207"/>
      <c r="Y218" s="207"/>
      <c r="Z218" s="207"/>
      <c r="AA218" s="204"/>
      <c r="AB218" s="204"/>
      <c r="AC218" s="204"/>
      <c r="AD218" s="204"/>
      <c r="AE218" s="204"/>
      <c r="AF218" s="148" t="s">
        <v>1173</v>
      </c>
      <c r="AG218" s="164" t="s">
        <v>960</v>
      </c>
    </row>
    <row r="219" spans="1:33" ht="24.95" customHeight="1" x14ac:dyDescent="0.2">
      <c r="A219" s="167" t="s">
        <v>1367</v>
      </c>
      <c r="B219" s="159" t="s">
        <v>1368</v>
      </c>
      <c r="C219" s="160" t="s">
        <v>947</v>
      </c>
      <c r="D219" s="160" t="s">
        <v>947</v>
      </c>
      <c r="E219" s="144" t="s">
        <v>1066</v>
      </c>
      <c r="F219" s="145">
        <f>827+6425</f>
        <v>7252</v>
      </c>
      <c r="G219" s="162">
        <f>405+1519+1990+3501</f>
        <v>7415</v>
      </c>
      <c r="H219" s="162">
        <f>29+32</f>
        <v>61</v>
      </c>
      <c r="I219" s="203"/>
      <c r="J219" s="147">
        <v>0</v>
      </c>
      <c r="K219" s="147">
        <v>0</v>
      </c>
      <c r="L219" s="147">
        <v>0</v>
      </c>
      <c r="M219" s="147">
        <v>0</v>
      </c>
      <c r="N219" s="147">
        <v>0</v>
      </c>
      <c r="O219" s="147">
        <v>0</v>
      </c>
      <c r="P219" s="207"/>
      <c r="Q219" s="207"/>
      <c r="R219" s="207"/>
      <c r="S219" s="207"/>
      <c r="T219" s="207"/>
      <c r="U219" s="207"/>
      <c r="V219" s="207"/>
      <c r="W219" s="207"/>
      <c r="X219" s="207"/>
      <c r="Y219" s="207"/>
      <c r="Z219" s="207"/>
      <c r="AA219" s="204"/>
      <c r="AB219" s="204"/>
      <c r="AC219" s="204"/>
      <c r="AD219" s="204"/>
      <c r="AE219" s="204"/>
      <c r="AF219" s="148" t="s">
        <v>1173</v>
      </c>
      <c r="AG219" s="164" t="s">
        <v>960</v>
      </c>
    </row>
    <row r="220" spans="1:33" ht="24.95" customHeight="1" x14ac:dyDescent="0.2">
      <c r="A220" s="167" t="s">
        <v>1369</v>
      </c>
      <c r="B220" s="159" t="s">
        <v>1370</v>
      </c>
      <c r="C220" s="160" t="s">
        <v>947</v>
      </c>
      <c r="D220" s="160" t="s">
        <v>947</v>
      </c>
      <c r="E220" s="144" t="s">
        <v>1066</v>
      </c>
      <c r="F220" s="145">
        <f>3060+623+2052</f>
        <v>5735</v>
      </c>
      <c r="G220" s="162">
        <f>51+106+358+1040+1833+1+1+1+4506</f>
        <v>7897</v>
      </c>
      <c r="H220" s="162">
        <f>12+13</f>
        <v>25</v>
      </c>
      <c r="I220" s="203"/>
      <c r="J220" s="147">
        <v>0</v>
      </c>
      <c r="K220" s="147">
        <v>0</v>
      </c>
      <c r="L220" s="147">
        <v>0</v>
      </c>
      <c r="M220" s="147">
        <v>0</v>
      </c>
      <c r="N220" s="147">
        <v>0</v>
      </c>
      <c r="O220" s="147">
        <v>0</v>
      </c>
      <c r="P220" s="207"/>
      <c r="Q220" s="207"/>
      <c r="R220" s="207"/>
      <c r="S220" s="207"/>
      <c r="T220" s="207"/>
      <c r="U220" s="207"/>
      <c r="V220" s="207"/>
      <c r="W220" s="207"/>
      <c r="X220" s="207"/>
      <c r="Y220" s="207"/>
      <c r="Z220" s="207"/>
      <c r="AA220" s="204"/>
      <c r="AB220" s="204"/>
      <c r="AC220" s="204"/>
      <c r="AD220" s="204"/>
      <c r="AE220" s="204"/>
      <c r="AF220" s="148" t="s">
        <v>1173</v>
      </c>
      <c r="AG220" s="164" t="s">
        <v>960</v>
      </c>
    </row>
    <row r="221" spans="1:33" ht="24.95" customHeight="1" x14ac:dyDescent="0.2">
      <c r="A221" s="167" t="s">
        <v>1371</v>
      </c>
      <c r="B221" s="159" t="s">
        <v>1372</v>
      </c>
      <c r="C221" s="160" t="s">
        <v>947</v>
      </c>
      <c r="D221" s="160" t="s">
        <v>947</v>
      </c>
      <c r="E221" s="144" t="s">
        <v>1066</v>
      </c>
      <c r="F221" s="145">
        <v>4620</v>
      </c>
      <c r="G221" s="162">
        <f>5+10+60+182+428+1280+4331</f>
        <v>6296</v>
      </c>
      <c r="H221" s="162">
        <f>44+59</f>
        <v>103</v>
      </c>
      <c r="I221" s="203"/>
      <c r="J221" s="147">
        <v>0</v>
      </c>
      <c r="K221" s="147">
        <v>0</v>
      </c>
      <c r="L221" s="147">
        <v>0</v>
      </c>
      <c r="M221" s="147">
        <v>0</v>
      </c>
      <c r="N221" s="147">
        <v>0</v>
      </c>
      <c r="O221" s="147">
        <v>0</v>
      </c>
      <c r="P221" s="207"/>
      <c r="Q221" s="207"/>
      <c r="R221" s="207"/>
      <c r="S221" s="207"/>
      <c r="T221" s="207"/>
      <c r="U221" s="207"/>
      <c r="V221" s="207"/>
      <c r="W221" s="207"/>
      <c r="X221" s="207"/>
      <c r="Y221" s="207"/>
      <c r="Z221" s="207"/>
      <c r="AA221" s="204"/>
      <c r="AB221" s="204"/>
      <c r="AC221" s="204"/>
      <c r="AD221" s="204"/>
      <c r="AE221" s="204"/>
      <c r="AF221" s="148" t="s">
        <v>1198</v>
      </c>
      <c r="AG221" s="164" t="s">
        <v>960</v>
      </c>
    </row>
    <row r="222" spans="1:33" ht="24.95" customHeight="1" x14ac:dyDescent="0.2">
      <c r="A222" s="167" t="s">
        <v>1373</v>
      </c>
      <c r="B222" s="159" t="s">
        <v>1374</v>
      </c>
      <c r="C222" s="160" t="s">
        <v>947</v>
      </c>
      <c r="D222" s="160" t="s">
        <v>947</v>
      </c>
      <c r="E222" s="144" t="s">
        <v>1066</v>
      </c>
      <c r="F222" s="145">
        <f>1735+1036</f>
        <v>2771</v>
      </c>
      <c r="G222" s="162">
        <f>152+46+459+3162</f>
        <v>3819</v>
      </c>
      <c r="H222" s="162">
        <f>2+66</f>
        <v>68</v>
      </c>
      <c r="I222" s="203"/>
      <c r="J222" s="147">
        <v>0</v>
      </c>
      <c r="K222" s="147">
        <v>0</v>
      </c>
      <c r="L222" s="147">
        <v>0</v>
      </c>
      <c r="M222" s="147">
        <v>0</v>
      </c>
      <c r="N222" s="147">
        <v>0</v>
      </c>
      <c r="O222" s="147">
        <v>0</v>
      </c>
      <c r="P222" s="207"/>
      <c r="Q222" s="207"/>
      <c r="R222" s="207"/>
      <c r="S222" s="207"/>
      <c r="T222" s="207"/>
      <c r="U222" s="207"/>
      <c r="V222" s="207"/>
      <c r="W222" s="207"/>
      <c r="X222" s="207"/>
      <c r="Y222" s="207"/>
      <c r="Z222" s="207"/>
      <c r="AA222" s="204"/>
      <c r="AB222" s="204"/>
      <c r="AC222" s="204"/>
      <c r="AD222" s="204"/>
      <c r="AE222" s="204"/>
      <c r="AF222" s="148" t="s">
        <v>1073</v>
      </c>
      <c r="AG222" s="164" t="s">
        <v>960</v>
      </c>
    </row>
    <row r="223" spans="1:33" ht="24.95" customHeight="1" x14ac:dyDescent="0.2">
      <c r="A223" s="142" t="s">
        <v>1375</v>
      </c>
      <c r="B223" s="157" t="s">
        <v>1376</v>
      </c>
      <c r="C223" s="143" t="s">
        <v>947</v>
      </c>
      <c r="D223" s="143" t="s">
        <v>947</v>
      </c>
      <c r="E223" s="144" t="s">
        <v>948</v>
      </c>
      <c r="F223" s="145">
        <v>0</v>
      </c>
      <c r="G223" s="146">
        <v>125</v>
      </c>
      <c r="H223" s="146">
        <v>0</v>
      </c>
      <c r="I223" s="201"/>
      <c r="J223" s="147">
        <v>0</v>
      </c>
      <c r="K223" s="146">
        <v>150</v>
      </c>
      <c r="L223" s="146">
        <v>0</v>
      </c>
      <c r="M223" s="146">
        <v>0</v>
      </c>
      <c r="N223" s="146">
        <v>0</v>
      </c>
      <c r="O223" s="146">
        <v>0</v>
      </c>
      <c r="P223" s="204"/>
      <c r="Q223" s="204"/>
      <c r="R223" s="204"/>
      <c r="S223" s="204"/>
      <c r="T223" s="204"/>
      <c r="U223" s="204"/>
      <c r="V223" s="204"/>
      <c r="W223" s="204"/>
      <c r="X223" s="204"/>
      <c r="Y223" s="204"/>
      <c r="Z223" s="204"/>
      <c r="AA223" s="204"/>
      <c r="AB223" s="204"/>
      <c r="AC223" s="204"/>
      <c r="AD223" s="204"/>
      <c r="AE223" s="204"/>
      <c r="AF223" s="148" t="s">
        <v>1173</v>
      </c>
      <c r="AG223" s="164" t="s">
        <v>960</v>
      </c>
    </row>
    <row r="224" spans="1:33" ht="24.95" customHeight="1" x14ac:dyDescent="0.2">
      <c r="A224" s="142" t="s">
        <v>1377</v>
      </c>
      <c r="B224" s="157" t="s">
        <v>1378</v>
      </c>
      <c r="C224" s="143" t="s">
        <v>947</v>
      </c>
      <c r="D224" s="143" t="s">
        <v>947</v>
      </c>
      <c r="E224" s="144" t="s">
        <v>948</v>
      </c>
      <c r="F224" s="145">
        <v>0</v>
      </c>
      <c r="G224" s="146">
        <v>2878</v>
      </c>
      <c r="H224" s="146">
        <v>0</v>
      </c>
      <c r="I224" s="201"/>
      <c r="J224" s="147">
        <v>0</v>
      </c>
      <c r="K224" s="146">
        <v>2270</v>
      </c>
      <c r="L224" s="146">
        <v>0</v>
      </c>
      <c r="M224" s="146">
        <v>0</v>
      </c>
      <c r="N224" s="146">
        <v>0</v>
      </c>
      <c r="O224" s="146">
        <v>0</v>
      </c>
      <c r="P224" s="206"/>
      <c r="Q224" s="206"/>
      <c r="R224" s="206"/>
      <c r="S224" s="206"/>
      <c r="T224" s="206"/>
      <c r="U224" s="206"/>
      <c r="V224" s="206"/>
      <c r="W224" s="206"/>
      <c r="X224" s="206"/>
      <c r="Y224" s="206"/>
      <c r="Z224" s="206"/>
      <c r="AA224" s="204"/>
      <c r="AB224" s="204"/>
      <c r="AC224" s="204"/>
      <c r="AD224" s="204"/>
      <c r="AE224" s="204"/>
      <c r="AF224" s="148" t="s">
        <v>1173</v>
      </c>
      <c r="AG224" s="168" t="s">
        <v>960</v>
      </c>
    </row>
    <row r="225" spans="1:33" ht="24.95" customHeight="1" x14ac:dyDescent="0.2">
      <c r="A225" s="142" t="s">
        <v>1379</v>
      </c>
      <c r="B225" s="157" t="s">
        <v>1380</v>
      </c>
      <c r="C225" s="143" t="s">
        <v>930</v>
      </c>
      <c r="D225" s="143" t="s">
        <v>930</v>
      </c>
      <c r="E225" s="144" t="s">
        <v>925</v>
      </c>
      <c r="F225" s="145">
        <v>0</v>
      </c>
      <c r="G225" s="146">
        <v>206</v>
      </c>
      <c r="H225" s="146">
        <v>1</v>
      </c>
      <c r="I225" s="201"/>
      <c r="J225" s="147">
        <v>0</v>
      </c>
      <c r="K225" s="146">
        <v>205</v>
      </c>
      <c r="L225" s="146">
        <v>0</v>
      </c>
      <c r="M225" s="146">
        <v>0</v>
      </c>
      <c r="N225" s="146">
        <v>0</v>
      </c>
      <c r="O225" s="146">
        <v>0</v>
      </c>
      <c r="P225" s="206"/>
      <c r="Q225" s="206"/>
      <c r="R225" s="204"/>
      <c r="S225" s="204"/>
      <c r="T225" s="206"/>
      <c r="U225" s="206"/>
      <c r="V225" s="204"/>
      <c r="W225" s="204"/>
      <c r="X225" s="204"/>
      <c r="Y225" s="204"/>
      <c r="Z225" s="204"/>
      <c r="AA225" s="204"/>
      <c r="AB225" s="204"/>
      <c r="AC225" s="204"/>
      <c r="AD225" s="204"/>
      <c r="AE225" s="204"/>
      <c r="AF225" s="148" t="s">
        <v>926</v>
      </c>
      <c r="AG225" s="168" t="s">
        <v>960</v>
      </c>
    </row>
    <row r="226" spans="1:33" ht="24.95" customHeight="1" x14ac:dyDescent="0.2">
      <c r="A226" s="142" t="s">
        <v>1381</v>
      </c>
      <c r="B226" s="157" t="s">
        <v>1382</v>
      </c>
      <c r="C226" s="143" t="s">
        <v>930</v>
      </c>
      <c r="D226" s="143" t="s">
        <v>930</v>
      </c>
      <c r="E226" s="144" t="s">
        <v>1383</v>
      </c>
      <c r="F226" s="145">
        <f>565+736</f>
        <v>1301</v>
      </c>
      <c r="G226" s="146">
        <f>289+625</f>
        <v>914</v>
      </c>
      <c r="H226" s="146">
        <v>3</v>
      </c>
      <c r="I226" s="201"/>
      <c r="J226" s="147">
        <v>1226</v>
      </c>
      <c r="K226" s="146">
        <v>879</v>
      </c>
      <c r="L226" s="146">
        <v>4</v>
      </c>
      <c r="M226" s="146">
        <v>0</v>
      </c>
      <c r="N226" s="146">
        <v>0</v>
      </c>
      <c r="O226" s="146">
        <v>0</v>
      </c>
      <c r="P226" s="206"/>
      <c r="Q226" s="206"/>
      <c r="R226" s="204"/>
      <c r="S226" s="204"/>
      <c r="T226" s="206"/>
      <c r="U226" s="206"/>
      <c r="V226" s="204"/>
      <c r="W226" s="204"/>
      <c r="X226" s="204"/>
      <c r="Y226" s="204"/>
      <c r="Z226" s="204"/>
      <c r="AA226" s="204"/>
      <c r="AB226" s="204"/>
      <c r="AC226" s="204"/>
      <c r="AD226" s="204"/>
      <c r="AE226" s="204"/>
      <c r="AF226" s="148" t="s">
        <v>926</v>
      </c>
      <c r="AG226" s="164" t="s">
        <v>960</v>
      </c>
    </row>
    <row r="227" spans="1:33" ht="24.95" customHeight="1" x14ac:dyDescent="0.2">
      <c r="A227" s="142" t="s">
        <v>1384</v>
      </c>
      <c r="B227" s="157" t="s">
        <v>1385</v>
      </c>
      <c r="C227" s="143" t="s">
        <v>947</v>
      </c>
      <c r="D227" s="143" t="s">
        <v>947</v>
      </c>
      <c r="E227" s="144" t="s">
        <v>948</v>
      </c>
      <c r="F227" s="145">
        <v>250</v>
      </c>
      <c r="G227" s="146">
        <v>250</v>
      </c>
      <c r="H227" s="146">
        <v>0</v>
      </c>
      <c r="I227" s="201"/>
      <c r="J227" s="147">
        <v>0</v>
      </c>
      <c r="K227" s="146">
        <v>150</v>
      </c>
      <c r="L227" s="146">
        <v>0</v>
      </c>
      <c r="M227" s="146">
        <v>0</v>
      </c>
      <c r="N227" s="146">
        <v>0</v>
      </c>
      <c r="O227" s="146">
        <v>0</v>
      </c>
      <c r="P227" s="206"/>
      <c r="Q227" s="206"/>
      <c r="R227" s="204"/>
      <c r="S227" s="204"/>
      <c r="T227" s="206"/>
      <c r="U227" s="206"/>
      <c r="V227" s="204"/>
      <c r="W227" s="204"/>
      <c r="X227" s="204"/>
      <c r="Y227" s="204"/>
      <c r="Z227" s="204"/>
      <c r="AA227" s="204"/>
      <c r="AB227" s="204"/>
      <c r="AC227" s="204"/>
      <c r="AD227" s="204"/>
      <c r="AE227" s="204"/>
      <c r="AF227" s="148" t="s">
        <v>1173</v>
      </c>
      <c r="AG227" s="164" t="s">
        <v>960</v>
      </c>
    </row>
    <row r="228" spans="1:33" ht="24.95" customHeight="1" x14ac:dyDescent="0.2">
      <c r="A228" s="142" t="s">
        <v>1386</v>
      </c>
      <c r="B228" s="157" t="s">
        <v>1387</v>
      </c>
      <c r="C228" s="143" t="s">
        <v>947</v>
      </c>
      <c r="D228" s="143" t="s">
        <v>947</v>
      </c>
      <c r="E228" s="144" t="s">
        <v>1066</v>
      </c>
      <c r="F228" s="145">
        <v>7120</v>
      </c>
      <c r="G228" s="146">
        <f>15+145+500+445+5760+3270</f>
        <v>10135</v>
      </c>
      <c r="H228" s="146">
        <v>0</v>
      </c>
      <c r="I228" s="201"/>
      <c r="J228" s="147">
        <v>7203</v>
      </c>
      <c r="K228" s="146">
        <v>10135</v>
      </c>
      <c r="L228" s="146">
        <v>0</v>
      </c>
      <c r="M228" s="146">
        <v>0</v>
      </c>
      <c r="N228" s="146">
        <v>1</v>
      </c>
      <c r="O228" s="146">
        <v>0</v>
      </c>
      <c r="P228" s="206"/>
      <c r="Q228" s="206"/>
      <c r="R228" s="204"/>
      <c r="S228" s="204"/>
      <c r="T228" s="206"/>
      <c r="U228" s="206"/>
      <c r="V228" s="204"/>
      <c r="W228" s="204"/>
      <c r="X228" s="204"/>
      <c r="Y228" s="204"/>
      <c r="Z228" s="204"/>
      <c r="AA228" s="204"/>
      <c r="AB228" s="204"/>
      <c r="AC228" s="204"/>
      <c r="AD228" s="204"/>
      <c r="AE228" s="204"/>
      <c r="AF228" s="148" t="s">
        <v>926</v>
      </c>
      <c r="AG228" s="164" t="s">
        <v>960</v>
      </c>
    </row>
    <row r="229" spans="1:33" ht="24.95" customHeight="1" x14ac:dyDescent="0.2">
      <c r="A229" s="142" t="s">
        <v>1388</v>
      </c>
      <c r="B229" s="157" t="s">
        <v>1389</v>
      </c>
      <c r="C229" s="143" t="s">
        <v>930</v>
      </c>
      <c r="D229" s="143" t="s">
        <v>930</v>
      </c>
      <c r="E229" s="144" t="s">
        <v>975</v>
      </c>
      <c r="F229" s="145">
        <f>640+2190</f>
        <v>2830</v>
      </c>
      <c r="G229" s="146">
        <f>860+1376+1776</f>
        <v>4012</v>
      </c>
      <c r="H229" s="146">
        <f>15+32</f>
        <v>47</v>
      </c>
      <c r="I229" s="201"/>
      <c r="J229" s="147">
        <v>0</v>
      </c>
      <c r="K229" s="146">
        <v>0</v>
      </c>
      <c r="L229" s="146">
        <v>0</v>
      </c>
      <c r="M229" s="146">
        <v>0</v>
      </c>
      <c r="N229" s="146">
        <v>0</v>
      </c>
      <c r="O229" s="146">
        <v>0</v>
      </c>
      <c r="P229" s="206"/>
      <c r="Q229" s="206"/>
      <c r="R229" s="204"/>
      <c r="S229" s="204"/>
      <c r="T229" s="206"/>
      <c r="U229" s="206"/>
      <c r="V229" s="204"/>
      <c r="W229" s="204"/>
      <c r="X229" s="204"/>
      <c r="Y229" s="204"/>
      <c r="Z229" s="204"/>
      <c r="AA229" s="204"/>
      <c r="AB229" s="204"/>
      <c r="AC229" s="204"/>
      <c r="AD229" s="204"/>
      <c r="AE229" s="204"/>
      <c r="AF229" s="148" t="s">
        <v>1073</v>
      </c>
      <c r="AG229" s="164" t="s">
        <v>960</v>
      </c>
    </row>
    <row r="230" spans="1:33" ht="24.95" customHeight="1" x14ac:dyDescent="0.2">
      <c r="A230" s="142" t="s">
        <v>1390</v>
      </c>
      <c r="B230" s="157" t="s">
        <v>1391</v>
      </c>
      <c r="C230" s="143" t="s">
        <v>930</v>
      </c>
      <c r="D230" s="143" t="s">
        <v>1182</v>
      </c>
      <c r="E230" s="144" t="s">
        <v>975</v>
      </c>
      <c r="F230" s="145">
        <f>3734+1478</f>
        <v>5212</v>
      </c>
      <c r="G230" s="146">
        <f>119+1933+2659</f>
        <v>4711</v>
      </c>
      <c r="H230" s="146">
        <v>44</v>
      </c>
      <c r="I230" s="201"/>
      <c r="J230" s="147">
        <v>0</v>
      </c>
      <c r="K230" s="146">
        <v>0</v>
      </c>
      <c r="L230" s="146">
        <v>0</v>
      </c>
      <c r="M230" s="146">
        <v>0</v>
      </c>
      <c r="N230" s="146">
        <v>0</v>
      </c>
      <c r="O230" s="146">
        <v>0</v>
      </c>
      <c r="P230" s="206"/>
      <c r="Q230" s="206"/>
      <c r="R230" s="204"/>
      <c r="S230" s="204"/>
      <c r="T230" s="206"/>
      <c r="U230" s="206"/>
      <c r="V230" s="204"/>
      <c r="W230" s="204"/>
      <c r="X230" s="204"/>
      <c r="Y230" s="204"/>
      <c r="Z230" s="204"/>
      <c r="AA230" s="204"/>
      <c r="AB230" s="204"/>
      <c r="AC230" s="204"/>
      <c r="AD230" s="204"/>
      <c r="AE230" s="204"/>
      <c r="AF230" s="148" t="s">
        <v>1198</v>
      </c>
      <c r="AG230" s="164" t="s">
        <v>960</v>
      </c>
    </row>
    <row r="231" spans="1:33" ht="24.95" customHeight="1" x14ac:dyDescent="0.2">
      <c r="A231" s="142" t="s">
        <v>1392</v>
      </c>
      <c r="B231" s="157" t="s">
        <v>1393</v>
      </c>
      <c r="C231" s="143" t="s">
        <v>930</v>
      </c>
      <c r="D231" s="143" t="s">
        <v>1182</v>
      </c>
      <c r="E231" s="144" t="s">
        <v>975</v>
      </c>
      <c r="F231" s="145">
        <v>1595</v>
      </c>
      <c r="G231" s="146">
        <f>37+1581</f>
        <v>1618</v>
      </c>
      <c r="H231" s="146">
        <v>11</v>
      </c>
      <c r="I231" s="201"/>
      <c r="J231" s="147">
        <v>0</v>
      </c>
      <c r="K231" s="146">
        <v>0</v>
      </c>
      <c r="L231" s="146">
        <v>0</v>
      </c>
      <c r="M231" s="146">
        <v>0</v>
      </c>
      <c r="N231" s="146">
        <v>0</v>
      </c>
      <c r="O231" s="146">
        <v>0</v>
      </c>
      <c r="P231" s="206"/>
      <c r="Q231" s="206"/>
      <c r="R231" s="204"/>
      <c r="S231" s="204"/>
      <c r="T231" s="206"/>
      <c r="U231" s="206"/>
      <c r="V231" s="204"/>
      <c r="W231" s="204"/>
      <c r="X231" s="204"/>
      <c r="Y231" s="204"/>
      <c r="Z231" s="204"/>
      <c r="AA231" s="204"/>
      <c r="AB231" s="204"/>
      <c r="AC231" s="204"/>
      <c r="AD231" s="204"/>
      <c r="AE231" s="204"/>
      <c r="AF231" s="148" t="s">
        <v>1198</v>
      </c>
      <c r="AG231" s="164" t="s">
        <v>960</v>
      </c>
    </row>
    <row r="232" spans="1:33" ht="24.95" customHeight="1" x14ac:dyDescent="0.2">
      <c r="A232" s="142" t="s">
        <v>1394</v>
      </c>
      <c r="B232" s="157" t="s">
        <v>1395</v>
      </c>
      <c r="C232" s="143" t="s">
        <v>930</v>
      </c>
      <c r="D232" s="143" t="s">
        <v>1182</v>
      </c>
      <c r="E232" s="144" t="s">
        <v>975</v>
      </c>
      <c r="F232" s="145">
        <v>1138</v>
      </c>
      <c r="G232" s="146">
        <f>14+185+1670</f>
        <v>1869</v>
      </c>
      <c r="H232" s="146">
        <v>21</v>
      </c>
      <c r="I232" s="201"/>
      <c r="J232" s="147">
        <v>0</v>
      </c>
      <c r="K232" s="146">
        <v>0</v>
      </c>
      <c r="L232" s="146">
        <v>0</v>
      </c>
      <c r="M232" s="146">
        <v>0</v>
      </c>
      <c r="N232" s="146">
        <v>0</v>
      </c>
      <c r="O232" s="146">
        <v>0</v>
      </c>
      <c r="P232" s="206"/>
      <c r="Q232" s="206"/>
      <c r="R232" s="204"/>
      <c r="S232" s="204"/>
      <c r="T232" s="206"/>
      <c r="U232" s="206"/>
      <c r="V232" s="204"/>
      <c r="W232" s="204"/>
      <c r="X232" s="204"/>
      <c r="Y232" s="204"/>
      <c r="Z232" s="204"/>
      <c r="AA232" s="204"/>
      <c r="AB232" s="204"/>
      <c r="AC232" s="204"/>
      <c r="AD232" s="204"/>
      <c r="AE232" s="204"/>
      <c r="AF232" s="148" t="s">
        <v>1198</v>
      </c>
      <c r="AG232" s="164" t="s">
        <v>960</v>
      </c>
    </row>
    <row r="233" spans="1:33" ht="24.95" customHeight="1" x14ac:dyDescent="0.2">
      <c r="A233" s="142" t="s">
        <v>1396</v>
      </c>
      <c r="B233" s="157" t="s">
        <v>1397</v>
      </c>
      <c r="C233" s="143" t="s">
        <v>930</v>
      </c>
      <c r="D233" s="143" t="s">
        <v>1168</v>
      </c>
      <c r="E233" s="144" t="s">
        <v>975</v>
      </c>
      <c r="F233" s="145">
        <f>4175+1755</f>
        <v>5930</v>
      </c>
      <c r="G233" s="146">
        <f>2810+3435+55</f>
        <v>6300</v>
      </c>
      <c r="H233" s="146">
        <v>65</v>
      </c>
      <c r="I233" s="201"/>
      <c r="J233" s="147">
        <v>0</v>
      </c>
      <c r="K233" s="146">
        <v>0</v>
      </c>
      <c r="L233" s="146">
        <v>0</v>
      </c>
      <c r="M233" s="146">
        <v>0</v>
      </c>
      <c r="N233" s="146">
        <v>0</v>
      </c>
      <c r="O233" s="146">
        <v>0</v>
      </c>
      <c r="P233" s="206"/>
      <c r="Q233" s="206"/>
      <c r="R233" s="204"/>
      <c r="S233" s="204"/>
      <c r="T233" s="206"/>
      <c r="U233" s="206"/>
      <c r="V233" s="204"/>
      <c r="W233" s="204"/>
      <c r="X233" s="204"/>
      <c r="Y233" s="204"/>
      <c r="Z233" s="204"/>
      <c r="AA233" s="204"/>
      <c r="AB233" s="204"/>
      <c r="AC233" s="204"/>
      <c r="AD233" s="204"/>
      <c r="AE233" s="204"/>
      <c r="AF233" s="148" t="s">
        <v>1073</v>
      </c>
      <c r="AG233" s="164" t="s">
        <v>960</v>
      </c>
    </row>
    <row r="234" spans="1:33" ht="24.95" customHeight="1" x14ac:dyDescent="0.2">
      <c r="A234" s="142" t="s">
        <v>1398</v>
      </c>
      <c r="B234" s="157" t="s">
        <v>1399</v>
      </c>
      <c r="C234" s="143" t="s">
        <v>930</v>
      </c>
      <c r="D234" s="143" t="s">
        <v>1400</v>
      </c>
      <c r="E234" s="144" t="s">
        <v>975</v>
      </c>
      <c r="F234" s="145">
        <f>680+5020</f>
        <v>5700</v>
      </c>
      <c r="G234" s="146">
        <f>595+5130+201+87+8</f>
        <v>6021</v>
      </c>
      <c r="H234" s="146">
        <v>66</v>
      </c>
      <c r="I234" s="201"/>
      <c r="J234" s="147">
        <v>0</v>
      </c>
      <c r="K234" s="146">
        <v>0</v>
      </c>
      <c r="L234" s="146">
        <v>0</v>
      </c>
      <c r="M234" s="146">
        <v>0</v>
      </c>
      <c r="N234" s="146">
        <v>0</v>
      </c>
      <c r="O234" s="146">
        <v>0</v>
      </c>
      <c r="P234" s="206"/>
      <c r="Q234" s="206"/>
      <c r="R234" s="204"/>
      <c r="S234" s="204"/>
      <c r="T234" s="206"/>
      <c r="U234" s="206"/>
      <c r="V234" s="204"/>
      <c r="W234" s="204"/>
      <c r="X234" s="204"/>
      <c r="Y234" s="204"/>
      <c r="Z234" s="204"/>
      <c r="AA234" s="204"/>
      <c r="AB234" s="204"/>
      <c r="AC234" s="204"/>
      <c r="AD234" s="204"/>
      <c r="AE234" s="204"/>
      <c r="AF234" s="148" t="s">
        <v>1073</v>
      </c>
      <c r="AG234" s="164" t="s">
        <v>960</v>
      </c>
    </row>
    <row r="235" spans="1:33" ht="24.95" customHeight="1" x14ac:dyDescent="0.2">
      <c r="A235" s="142" t="s">
        <v>1401</v>
      </c>
      <c r="B235" s="157" t="s">
        <v>1402</v>
      </c>
      <c r="C235" s="143" t="s">
        <v>947</v>
      </c>
      <c r="D235" s="143" t="s">
        <v>947</v>
      </c>
      <c r="E235" s="144" t="s">
        <v>1066</v>
      </c>
      <c r="F235" s="145">
        <v>684</v>
      </c>
      <c r="G235" s="146">
        <v>650</v>
      </c>
      <c r="H235" s="146">
        <v>12</v>
      </c>
      <c r="I235" s="201"/>
      <c r="J235" s="147">
        <v>0</v>
      </c>
      <c r="K235" s="146">
        <v>0</v>
      </c>
      <c r="L235" s="146">
        <v>0</v>
      </c>
      <c r="M235" s="146">
        <v>0</v>
      </c>
      <c r="N235" s="146">
        <v>0</v>
      </c>
      <c r="O235" s="146">
        <v>0</v>
      </c>
      <c r="P235" s="206"/>
      <c r="Q235" s="206"/>
      <c r="R235" s="204"/>
      <c r="S235" s="204"/>
      <c r="T235" s="206"/>
      <c r="U235" s="206"/>
      <c r="V235" s="204"/>
      <c r="W235" s="204"/>
      <c r="X235" s="204"/>
      <c r="Y235" s="204"/>
      <c r="Z235" s="204"/>
      <c r="AA235" s="204"/>
      <c r="AB235" s="204"/>
      <c r="AC235" s="204"/>
      <c r="AD235" s="204"/>
      <c r="AE235" s="204"/>
      <c r="AF235" s="148" t="s">
        <v>926</v>
      </c>
      <c r="AG235" s="164" t="s">
        <v>960</v>
      </c>
    </row>
    <row r="236" spans="1:33" ht="24.95" customHeight="1" x14ac:dyDescent="0.2">
      <c r="A236" s="142" t="s">
        <v>1403</v>
      </c>
      <c r="B236" s="157" t="s">
        <v>1404</v>
      </c>
      <c r="C236" s="143" t="s">
        <v>930</v>
      </c>
      <c r="D236" s="143" t="s">
        <v>930</v>
      </c>
      <c r="E236" s="144" t="s">
        <v>925</v>
      </c>
      <c r="F236" s="145">
        <v>378</v>
      </c>
      <c r="G236" s="146">
        <v>817</v>
      </c>
      <c r="H236" s="146">
        <v>0</v>
      </c>
      <c r="I236" s="201"/>
      <c r="J236" s="147">
        <v>0</v>
      </c>
      <c r="K236" s="146">
        <v>0</v>
      </c>
      <c r="L236" s="146">
        <v>0</v>
      </c>
      <c r="M236" s="146">
        <v>0</v>
      </c>
      <c r="N236" s="146">
        <v>0</v>
      </c>
      <c r="O236" s="146">
        <v>0</v>
      </c>
      <c r="P236" s="206"/>
      <c r="Q236" s="206"/>
      <c r="R236" s="204"/>
      <c r="S236" s="204"/>
      <c r="T236" s="206"/>
      <c r="U236" s="206"/>
      <c r="V236" s="204"/>
      <c r="W236" s="204"/>
      <c r="X236" s="204"/>
      <c r="Y236" s="204"/>
      <c r="Z236" s="204"/>
      <c r="AA236" s="204"/>
      <c r="AB236" s="204"/>
      <c r="AC236" s="204"/>
      <c r="AD236" s="204"/>
      <c r="AE236" s="204"/>
      <c r="AF236" s="148" t="s">
        <v>1173</v>
      </c>
      <c r="AG236" s="164" t="s">
        <v>960</v>
      </c>
    </row>
    <row r="237" spans="1:33" ht="24.95" customHeight="1" x14ac:dyDescent="0.2">
      <c r="A237" s="142" t="s">
        <v>1405</v>
      </c>
      <c r="B237" s="157" t="s">
        <v>1406</v>
      </c>
      <c r="C237" s="143" t="s">
        <v>947</v>
      </c>
      <c r="D237" s="143" t="s">
        <v>947</v>
      </c>
      <c r="E237" s="163" t="s">
        <v>951</v>
      </c>
      <c r="F237" s="145">
        <v>3280</v>
      </c>
      <c r="G237" s="146">
        <f>1846+2426</f>
        <v>4272</v>
      </c>
      <c r="H237" s="146">
        <v>72</v>
      </c>
      <c r="I237" s="201"/>
      <c r="J237" s="147">
        <v>0</v>
      </c>
      <c r="K237" s="146">
        <v>0</v>
      </c>
      <c r="L237" s="146">
        <v>0</v>
      </c>
      <c r="M237" s="146">
        <v>0</v>
      </c>
      <c r="N237" s="146">
        <v>0</v>
      </c>
      <c r="O237" s="146">
        <v>0</v>
      </c>
      <c r="P237" s="206"/>
      <c r="Q237" s="206"/>
      <c r="R237" s="204"/>
      <c r="S237" s="204"/>
      <c r="T237" s="206"/>
      <c r="U237" s="206"/>
      <c r="V237" s="204"/>
      <c r="W237" s="204"/>
      <c r="X237" s="204"/>
      <c r="Y237" s="204"/>
      <c r="Z237" s="204"/>
      <c r="AA237" s="204"/>
      <c r="AB237" s="204"/>
      <c r="AC237" s="204"/>
      <c r="AD237" s="204"/>
      <c r="AE237" s="204"/>
      <c r="AF237" s="148" t="s">
        <v>1073</v>
      </c>
      <c r="AG237" s="164" t="s">
        <v>960</v>
      </c>
    </row>
    <row r="238" spans="1:33" ht="24.95" customHeight="1" x14ac:dyDescent="0.2">
      <c r="A238" s="142">
        <v>2499</v>
      </c>
      <c r="B238" s="157" t="s">
        <v>1407</v>
      </c>
      <c r="C238" s="143" t="s">
        <v>947</v>
      </c>
      <c r="D238" s="143" t="s">
        <v>947</v>
      </c>
      <c r="E238" s="144" t="s">
        <v>1066</v>
      </c>
      <c r="F238" s="145">
        <f>4415+2541</f>
        <v>6956</v>
      </c>
      <c r="G238" s="146">
        <v>5656</v>
      </c>
      <c r="H238" s="146">
        <f>71+75</f>
        <v>146</v>
      </c>
      <c r="I238" s="201"/>
      <c r="J238" s="147">
        <v>0</v>
      </c>
      <c r="K238" s="146">
        <v>0</v>
      </c>
      <c r="L238" s="146">
        <v>0</v>
      </c>
      <c r="M238" s="146">
        <v>0</v>
      </c>
      <c r="N238" s="146">
        <v>0</v>
      </c>
      <c r="O238" s="146">
        <v>0</v>
      </c>
      <c r="P238" s="206"/>
      <c r="Q238" s="206"/>
      <c r="R238" s="204"/>
      <c r="S238" s="204"/>
      <c r="T238" s="206"/>
      <c r="U238" s="206"/>
      <c r="V238" s="204"/>
      <c r="W238" s="204"/>
      <c r="X238" s="204"/>
      <c r="Y238" s="204"/>
      <c r="Z238" s="204"/>
      <c r="AA238" s="204"/>
      <c r="AB238" s="204"/>
      <c r="AC238" s="204"/>
      <c r="AD238" s="204"/>
      <c r="AE238" s="204"/>
      <c r="AF238" s="148" t="s">
        <v>1193</v>
      </c>
      <c r="AG238" s="164" t="s">
        <v>960</v>
      </c>
    </row>
    <row r="239" spans="1:33" ht="24.95" customHeight="1" x14ac:dyDescent="0.2">
      <c r="A239" s="142" t="s">
        <v>1408</v>
      </c>
      <c r="B239" s="157" t="s">
        <v>1409</v>
      </c>
      <c r="C239" s="143" t="s">
        <v>930</v>
      </c>
      <c r="D239" s="143" t="s">
        <v>947</v>
      </c>
      <c r="E239" s="144" t="s">
        <v>1066</v>
      </c>
      <c r="F239" s="145">
        <v>1544</v>
      </c>
      <c r="G239" s="146">
        <f>1449+279</f>
        <v>1728</v>
      </c>
      <c r="H239" s="146">
        <f>15+32</f>
        <v>47</v>
      </c>
      <c r="I239" s="201"/>
      <c r="J239" s="147">
        <v>0</v>
      </c>
      <c r="K239" s="146">
        <v>0</v>
      </c>
      <c r="L239" s="146">
        <v>0</v>
      </c>
      <c r="M239" s="146">
        <v>0</v>
      </c>
      <c r="N239" s="146">
        <v>0</v>
      </c>
      <c r="O239" s="146">
        <v>0</v>
      </c>
      <c r="P239" s="206"/>
      <c r="Q239" s="206"/>
      <c r="R239" s="204"/>
      <c r="S239" s="204"/>
      <c r="T239" s="206"/>
      <c r="U239" s="206"/>
      <c r="V239" s="204"/>
      <c r="W239" s="204"/>
      <c r="X239" s="204"/>
      <c r="Y239" s="204"/>
      <c r="Z239" s="204"/>
      <c r="AA239" s="204"/>
      <c r="AB239" s="204"/>
      <c r="AC239" s="204"/>
      <c r="AD239" s="204"/>
      <c r="AE239" s="204"/>
      <c r="AF239" s="148" t="s">
        <v>1073</v>
      </c>
      <c r="AG239" s="164" t="s">
        <v>960</v>
      </c>
    </row>
    <row r="240" spans="1:33" ht="13.5" thickBot="1" x14ac:dyDescent="0.25">
      <c r="I240" s="192"/>
      <c r="J240" s="169"/>
      <c r="K240" s="169"/>
      <c r="L240" s="169"/>
      <c r="M240" s="169"/>
      <c r="N240" s="169"/>
      <c r="O240" s="169"/>
      <c r="P240" s="193"/>
      <c r="Q240" s="193"/>
      <c r="R240" s="192"/>
      <c r="S240" s="192"/>
      <c r="T240" s="193"/>
      <c r="U240" s="193"/>
      <c r="V240" s="192"/>
      <c r="W240" s="192"/>
      <c r="X240" s="192"/>
      <c r="Y240" s="192"/>
      <c r="Z240" s="193"/>
      <c r="AA240" s="192"/>
      <c r="AB240" s="194"/>
      <c r="AC240" s="194"/>
      <c r="AD240" s="194"/>
      <c r="AE240" s="194"/>
    </row>
    <row r="241" spans="1:33" s="171" customFormat="1" ht="13.5" thickBot="1" x14ac:dyDescent="0.25">
      <c r="A241" s="115"/>
      <c r="B241" s="170"/>
      <c r="C241" s="115"/>
      <c r="E241" s="172" t="s">
        <v>1410</v>
      </c>
      <c r="F241" s="173">
        <f>SUM(F7:F239)</f>
        <v>1174179</v>
      </c>
      <c r="G241" s="173">
        <f>SUM(G7:G239)</f>
        <v>1292441</v>
      </c>
      <c r="H241" s="173">
        <f>SUM(H7:H239)</f>
        <v>47246</v>
      </c>
      <c r="I241" s="173">
        <f>SUM(I7:I239)</f>
        <v>0</v>
      </c>
      <c r="J241" s="174"/>
      <c r="K241" s="174"/>
      <c r="L241" s="174"/>
      <c r="M241" s="174"/>
      <c r="N241" s="174"/>
      <c r="O241" s="174"/>
      <c r="P241" s="174"/>
      <c r="Q241" s="174"/>
      <c r="R241" s="174"/>
      <c r="S241" s="174"/>
      <c r="T241" s="174"/>
      <c r="U241" s="174"/>
      <c r="V241" s="174"/>
      <c r="W241" s="174"/>
      <c r="X241" s="174"/>
      <c r="Y241" s="174"/>
      <c r="Z241" s="174"/>
      <c r="AA241" s="174"/>
      <c r="AB241" s="194"/>
      <c r="AC241" s="194"/>
      <c r="AD241" s="194"/>
      <c r="AE241" s="174"/>
    </row>
    <row r="242" spans="1:33" s="171" customFormat="1" ht="26.25" thickBot="1" x14ac:dyDescent="0.25">
      <c r="A242" s="115"/>
      <c r="B242" s="170"/>
      <c r="C242" s="115"/>
      <c r="E242" s="175" t="s">
        <v>1411</v>
      </c>
      <c r="F242" s="173">
        <f>SUMIF($AF$7:$AF$239,"in service",F7:F239)+SUMIF($AF$7:$AF$239,"completed",F7:F239)</f>
        <v>140105</v>
      </c>
      <c r="G242" s="173">
        <f>SUMIF($AF$7:$AF$239,"in service",G7:G239)+SUMIF($AF$7:$AF$239,"completed",G7:G239)</f>
        <v>160994</v>
      </c>
      <c r="H242" s="173">
        <f>SUMIF($AF$7:$AF$239,"in service",H7:H239)+SUMIF($AF$7:$AF$239,"completed",H7:H239)</f>
        <v>1995</v>
      </c>
      <c r="I242" s="173">
        <f>SUMIF($AF$7:$AF$239,"in service",I7:I239)+SUMIF($AF$7:$AF$239,"completed",I7:I239)</f>
        <v>0</v>
      </c>
      <c r="J242" s="176">
        <f t="shared" ref="J242:AE242" si="0">SUM(J7:J239)</f>
        <v>829598</v>
      </c>
      <c r="K242" s="177">
        <f t="shared" si="0"/>
        <v>887489</v>
      </c>
      <c r="L242" s="177">
        <f t="shared" si="0"/>
        <v>10524</v>
      </c>
      <c r="M242" s="177">
        <f t="shared" si="0"/>
        <v>547623</v>
      </c>
      <c r="N242" s="178">
        <f t="shared" si="0"/>
        <v>454</v>
      </c>
      <c r="O242" s="177">
        <f t="shared" si="0"/>
        <v>555143</v>
      </c>
      <c r="P242" s="195">
        <f t="shared" si="0"/>
        <v>0</v>
      </c>
      <c r="Q242" s="195">
        <f t="shared" si="0"/>
        <v>0</v>
      </c>
      <c r="R242" s="195">
        <f t="shared" si="0"/>
        <v>0</v>
      </c>
      <c r="S242" s="195">
        <f t="shared" si="0"/>
        <v>0</v>
      </c>
      <c r="T242" s="195">
        <f t="shared" si="0"/>
        <v>0</v>
      </c>
      <c r="U242" s="195">
        <f t="shared" si="0"/>
        <v>0</v>
      </c>
      <c r="V242" s="195">
        <f t="shared" si="0"/>
        <v>0</v>
      </c>
      <c r="W242" s="195">
        <f t="shared" si="0"/>
        <v>0</v>
      </c>
      <c r="X242" s="195">
        <f t="shared" si="0"/>
        <v>0</v>
      </c>
      <c r="Y242" s="195">
        <f t="shared" si="0"/>
        <v>0</v>
      </c>
      <c r="Z242" s="195">
        <f t="shared" si="0"/>
        <v>0</v>
      </c>
      <c r="AA242" s="195">
        <f t="shared" si="0"/>
        <v>0</v>
      </c>
      <c r="AB242" s="195">
        <f t="shared" si="0"/>
        <v>0</v>
      </c>
      <c r="AC242" s="195">
        <f t="shared" si="0"/>
        <v>0</v>
      </c>
      <c r="AD242" s="195">
        <f t="shared" si="0"/>
        <v>0</v>
      </c>
      <c r="AE242" s="195">
        <f t="shared" si="0"/>
        <v>0</v>
      </c>
    </row>
    <row r="243" spans="1:33" ht="15" x14ac:dyDescent="0.25">
      <c r="J243" s="179"/>
      <c r="K243" s="179"/>
      <c r="L243" s="179"/>
      <c r="M243" s="179"/>
      <c r="N243" s="179"/>
      <c r="O243" s="179"/>
      <c r="P243" s="179"/>
      <c r="Q243" s="179"/>
      <c r="R243" s="179"/>
      <c r="S243" s="179"/>
      <c r="T243" s="179"/>
      <c r="U243" s="179"/>
      <c r="V243" s="179"/>
      <c r="W243" s="179"/>
      <c r="X243" s="179"/>
      <c r="Y243" s="179"/>
      <c r="Z243" s="179"/>
      <c r="AA243" s="179"/>
      <c r="AB243" s="179"/>
      <c r="AC243" s="179"/>
      <c r="AD243" s="179"/>
      <c r="AE243" s="180"/>
      <c r="AG243" s="110" t="s">
        <v>1412</v>
      </c>
    </row>
    <row r="244" spans="1:33" x14ac:dyDescent="0.2">
      <c r="P244" s="110"/>
      <c r="Q244" s="110"/>
      <c r="R244" s="110"/>
      <c r="S244" s="110"/>
      <c r="T244" s="110"/>
      <c r="U244" s="110"/>
      <c r="V244" s="110"/>
      <c r="W244" s="110"/>
      <c r="X244" s="110"/>
      <c r="Y244" s="110"/>
      <c r="Z244" s="110"/>
      <c r="AA244" s="110"/>
      <c r="AB244" s="110"/>
      <c r="AC244" s="110"/>
      <c r="AD244" s="110"/>
    </row>
    <row r="245" spans="1:33" ht="15" x14ac:dyDescent="0.2">
      <c r="A245" s="181" t="s">
        <v>1413</v>
      </c>
      <c r="P245" s="110"/>
      <c r="Q245" s="110"/>
      <c r="R245" s="110"/>
      <c r="S245" s="110"/>
      <c r="T245" s="110"/>
      <c r="U245" s="110"/>
      <c r="V245" s="110"/>
      <c r="W245" s="110"/>
      <c r="X245" s="110"/>
      <c r="Y245" s="110"/>
      <c r="Z245" s="110"/>
      <c r="AA245" s="110"/>
      <c r="AB245" s="110"/>
      <c r="AC245" s="110"/>
      <c r="AD245" s="110"/>
    </row>
    <row r="246" spans="1:33" ht="15" x14ac:dyDescent="0.2">
      <c r="A246" s="181" t="s">
        <v>1414</v>
      </c>
      <c r="P246" s="182"/>
      <c r="Q246" s="182"/>
      <c r="R246" s="182"/>
    </row>
    <row r="247" spans="1:33" ht="15" x14ac:dyDescent="0.2">
      <c r="A247" s="181" t="s">
        <v>1415</v>
      </c>
      <c r="P247" s="182"/>
      <c r="Q247" s="182"/>
      <c r="R247" s="182"/>
    </row>
    <row r="248" spans="1:33" ht="15" x14ac:dyDescent="0.2">
      <c r="A248" s="183" t="s">
        <v>1416</v>
      </c>
      <c r="P248" s="182"/>
      <c r="Q248" s="182"/>
      <c r="R248" s="182"/>
    </row>
    <row r="249" spans="1:33" ht="15" x14ac:dyDescent="0.2">
      <c r="A249" s="183" t="s">
        <v>1417</v>
      </c>
      <c r="P249" s="182"/>
      <c r="Q249" s="182"/>
      <c r="R249" s="182"/>
    </row>
    <row r="250" spans="1:33" ht="15" x14ac:dyDescent="0.2">
      <c r="A250" s="183" t="s">
        <v>1418</v>
      </c>
      <c r="P250" s="182"/>
      <c r="Q250" s="182"/>
      <c r="R250" s="182"/>
    </row>
    <row r="251" spans="1:33" ht="15" x14ac:dyDescent="0.2">
      <c r="A251" s="181" t="s">
        <v>1419</v>
      </c>
      <c r="P251" s="182"/>
      <c r="Q251" s="182"/>
      <c r="R251" s="182"/>
    </row>
    <row r="252" spans="1:33" ht="15" x14ac:dyDescent="0.2">
      <c r="A252" s="181" t="s">
        <v>1420</v>
      </c>
      <c r="C252" s="110"/>
    </row>
    <row r="253" spans="1:33" ht="15" x14ac:dyDescent="0.2">
      <c r="A253" s="181" t="s">
        <v>1421</v>
      </c>
      <c r="C253" s="110"/>
    </row>
    <row r="254" spans="1:33" ht="15" x14ac:dyDescent="0.2">
      <c r="A254" s="181" t="s">
        <v>1422</v>
      </c>
      <c r="C254" s="110"/>
    </row>
    <row r="255" spans="1:33" ht="15" x14ac:dyDescent="0.2">
      <c r="A255" s="181" t="s">
        <v>1423</v>
      </c>
    </row>
    <row r="256" spans="1:33" ht="15" x14ac:dyDescent="0.2">
      <c r="A256" s="181" t="s">
        <v>1424</v>
      </c>
    </row>
  </sheetData>
  <autoFilter ref="A6:BJ242" xr:uid="{84EF7271-5929-4276-9882-BFEFBB7A86D2}"/>
  <mergeCells count="3">
    <mergeCell ref="A2:AE2"/>
    <mergeCell ref="A3:AE3"/>
    <mergeCell ref="P5:V5"/>
  </mergeCells>
  <printOptions horizontalCentered="1"/>
  <pageMargins left="0.7" right="0.7" top="0.75" bottom="0.75" header="0.2" footer="0.3"/>
  <pageSetup scale="21" fitToHeight="0" orientation="landscape" r:id="rId1"/>
  <headerFooter scaleWithDoc="0">
    <oddHeader>&amp;R&amp;"Arial,Regular"&amp;8Petitioner's Exhibit No. 2
Attachment  &amp;A
CEI South
Page &amp;P of &amp;N</oddHeader>
  </headerFooter>
  <rowBreaks count="1" manualBreakCount="1">
    <brk id="194" max="3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78304-F871-4403-A67A-E127B0B22068}">
  <sheetPr codeName="Sheet8">
    <pageSetUpPr fitToPage="1"/>
  </sheetPr>
  <dimension ref="A1:K73"/>
  <sheetViews>
    <sheetView view="pageBreakPreview" zoomScale="90" zoomScaleNormal="66" zoomScaleSheetLayoutView="90" zoomScalePageLayoutView="90" workbookViewId="0">
      <pane ySplit="6" topLeftCell="A7" activePane="bottomLeft" state="frozen"/>
      <selection activeCell="D1" sqref="D1"/>
      <selection pane="bottomLeft" activeCell="A7" sqref="A7"/>
    </sheetView>
  </sheetViews>
  <sheetFormatPr defaultColWidth="9.140625" defaultRowHeight="12.75" x14ac:dyDescent="0.2"/>
  <cols>
    <col min="1" max="1" width="18" style="65" customWidth="1"/>
    <col min="2" max="2" width="23.140625" style="66" bestFit="1" customWidth="1"/>
    <col min="3" max="3" width="23" style="67" bestFit="1" customWidth="1"/>
    <col min="4" max="4" width="44.85546875" style="68" customWidth="1"/>
    <col min="5" max="5" width="20" style="69" customWidth="1"/>
    <col min="6" max="6" width="23.5703125" style="69" bestFit="1" customWidth="1"/>
    <col min="7" max="7" width="56" style="67" customWidth="1"/>
    <col min="8" max="8" width="10.140625" style="70" customWidth="1"/>
    <col min="9" max="9" width="14.85546875" style="70" bestFit="1" customWidth="1"/>
    <col min="10" max="10" width="14.42578125" style="71" bestFit="1" customWidth="1"/>
    <col min="11" max="11" width="15.42578125" style="70" customWidth="1"/>
    <col min="12" max="16384" width="9.140625" style="70"/>
  </cols>
  <sheetData>
    <row r="1" spans="1:10" s="50" customFormat="1" ht="18" x14ac:dyDescent="0.25">
      <c r="A1" s="219" t="s">
        <v>2</v>
      </c>
      <c r="B1" s="219"/>
      <c r="C1" s="219"/>
      <c r="D1" s="219"/>
      <c r="E1" s="219"/>
      <c r="F1" s="219"/>
      <c r="G1" s="219"/>
      <c r="H1" s="219"/>
      <c r="I1" s="219"/>
      <c r="J1" s="219"/>
    </row>
    <row r="2" spans="1:10" s="50" customFormat="1" ht="18" x14ac:dyDescent="0.25">
      <c r="A2" s="219" t="s">
        <v>1425</v>
      </c>
      <c r="B2" s="219"/>
      <c r="C2" s="219"/>
      <c r="D2" s="219"/>
      <c r="E2" s="219"/>
      <c r="F2" s="219"/>
      <c r="G2" s="219"/>
      <c r="H2" s="219"/>
      <c r="I2" s="219"/>
      <c r="J2" s="219"/>
    </row>
    <row r="3" spans="1:10" s="50" customFormat="1" ht="18" x14ac:dyDescent="0.2">
      <c r="A3" s="2"/>
      <c r="B3" s="3"/>
      <c r="C3" s="29"/>
      <c r="D3" s="7"/>
      <c r="E3" s="8"/>
      <c r="F3" s="51"/>
      <c r="G3" s="52"/>
      <c r="H3" s="53"/>
      <c r="I3" s="53"/>
      <c r="J3" s="54"/>
    </row>
    <row r="4" spans="1:10" s="50" customFormat="1" ht="18" x14ac:dyDescent="0.25">
      <c r="A4" s="10"/>
      <c r="B4" s="45"/>
      <c r="C4" s="9"/>
      <c r="D4" s="212"/>
      <c r="E4" s="8"/>
      <c r="F4" s="55"/>
      <c r="G4" s="56"/>
      <c r="H4" s="57"/>
      <c r="I4" s="57"/>
      <c r="J4" s="58"/>
    </row>
    <row r="5" spans="1:10" s="50" customFormat="1" ht="18" x14ac:dyDescent="0.25">
      <c r="A5" s="16"/>
      <c r="B5" s="17"/>
      <c r="C5" s="60"/>
      <c r="D5" s="61"/>
      <c r="E5" s="62"/>
      <c r="F5" s="62"/>
      <c r="G5" s="59"/>
      <c r="H5" s="57"/>
      <c r="I5" s="57"/>
      <c r="J5" s="63"/>
    </row>
    <row r="6" spans="1:10" s="64" customFormat="1" ht="25.5" x14ac:dyDescent="0.2">
      <c r="A6" s="79" t="s">
        <v>20</v>
      </c>
      <c r="B6" s="79" t="s">
        <v>21</v>
      </c>
      <c r="C6" s="79" t="s">
        <v>22</v>
      </c>
      <c r="D6" s="79" t="s">
        <v>23</v>
      </c>
      <c r="E6" s="79" t="s">
        <v>24</v>
      </c>
      <c r="F6" s="79" t="s">
        <v>25</v>
      </c>
      <c r="G6" s="79" t="s">
        <v>26</v>
      </c>
      <c r="H6" s="79" t="s">
        <v>27</v>
      </c>
      <c r="I6" s="79" t="s">
        <v>28</v>
      </c>
      <c r="J6" s="80" t="s">
        <v>29</v>
      </c>
    </row>
    <row r="7" spans="1:10" ht="45" x14ac:dyDescent="0.2">
      <c r="A7" s="100" t="s">
        <v>31</v>
      </c>
      <c r="B7" s="184">
        <v>18540971</v>
      </c>
      <c r="C7" s="184" t="s">
        <v>1426</v>
      </c>
      <c r="D7" s="100" t="s">
        <v>1427</v>
      </c>
      <c r="E7" s="100" t="s">
        <v>34</v>
      </c>
      <c r="F7" s="100" t="s">
        <v>192</v>
      </c>
      <c r="G7" s="184" t="s">
        <v>1428</v>
      </c>
      <c r="H7" s="187">
        <v>2022</v>
      </c>
      <c r="I7" s="199"/>
      <c r="J7" s="200"/>
    </row>
    <row r="8" spans="1:10" ht="75" x14ac:dyDescent="0.2">
      <c r="A8" s="100" t="s">
        <v>31</v>
      </c>
      <c r="B8" s="184">
        <v>18540992</v>
      </c>
      <c r="C8" s="184" t="s">
        <v>1429</v>
      </c>
      <c r="D8" s="100" t="s">
        <v>1427</v>
      </c>
      <c r="E8" s="100" t="s">
        <v>34</v>
      </c>
      <c r="F8" s="100" t="s">
        <v>263</v>
      </c>
      <c r="G8" s="184" t="s">
        <v>1430</v>
      </c>
      <c r="H8" s="187">
        <v>2022</v>
      </c>
      <c r="I8" s="199"/>
      <c r="J8" s="200"/>
    </row>
    <row r="9" spans="1:10" ht="60" x14ac:dyDescent="0.2">
      <c r="A9" s="100" t="s">
        <v>31</v>
      </c>
      <c r="B9" s="184">
        <v>18541013</v>
      </c>
      <c r="C9" s="184" t="s">
        <v>1431</v>
      </c>
      <c r="D9" s="100" t="s">
        <v>1427</v>
      </c>
      <c r="E9" s="100" t="s">
        <v>34</v>
      </c>
      <c r="F9" s="100" t="s">
        <v>71</v>
      </c>
      <c r="G9" s="184" t="s">
        <v>1432</v>
      </c>
      <c r="H9" s="187">
        <v>2022</v>
      </c>
      <c r="I9" s="199"/>
      <c r="J9" s="200"/>
    </row>
    <row r="10" spans="1:10" ht="60" x14ac:dyDescent="0.2">
      <c r="A10" s="100" t="s">
        <v>31</v>
      </c>
      <c r="B10" s="184">
        <v>18541051</v>
      </c>
      <c r="C10" s="184" t="s">
        <v>1433</v>
      </c>
      <c r="D10" s="100" t="s">
        <v>1427</v>
      </c>
      <c r="E10" s="100" t="s">
        <v>34</v>
      </c>
      <c r="F10" s="100" t="s">
        <v>71</v>
      </c>
      <c r="G10" s="184" t="s">
        <v>1434</v>
      </c>
      <c r="H10" s="187">
        <v>2022</v>
      </c>
      <c r="I10" s="199"/>
      <c r="J10" s="200"/>
    </row>
    <row r="11" spans="1:10" ht="75" x14ac:dyDescent="0.2">
      <c r="A11" s="100" t="s">
        <v>31</v>
      </c>
      <c r="B11" s="184">
        <v>16700672</v>
      </c>
      <c r="C11" s="184" t="s">
        <v>1435</v>
      </c>
      <c r="D11" s="100" t="s">
        <v>1427</v>
      </c>
      <c r="E11" s="100" t="s">
        <v>34</v>
      </c>
      <c r="F11" s="100" t="s">
        <v>35</v>
      </c>
      <c r="G11" s="184" t="s">
        <v>1436</v>
      </c>
      <c r="H11" s="187">
        <v>2022</v>
      </c>
      <c r="I11" s="199"/>
      <c r="J11" s="200"/>
    </row>
    <row r="12" spans="1:10" ht="75" x14ac:dyDescent="0.2">
      <c r="A12" s="100" t="s">
        <v>31</v>
      </c>
      <c r="B12" s="184">
        <v>18540796</v>
      </c>
      <c r="C12" s="184" t="s">
        <v>1437</v>
      </c>
      <c r="D12" s="100" t="s">
        <v>1427</v>
      </c>
      <c r="E12" s="100" t="s">
        <v>34</v>
      </c>
      <c r="F12" s="100" t="s">
        <v>35</v>
      </c>
      <c r="G12" s="184" t="s">
        <v>1438</v>
      </c>
      <c r="H12" s="187">
        <v>2022</v>
      </c>
      <c r="I12" s="199"/>
      <c r="J12" s="200"/>
    </row>
    <row r="13" spans="1:10" ht="75" x14ac:dyDescent="0.2">
      <c r="A13" s="100" t="s">
        <v>31</v>
      </c>
      <c r="B13" s="184">
        <v>18540873</v>
      </c>
      <c r="C13" s="184" t="s">
        <v>1439</v>
      </c>
      <c r="D13" s="100" t="s">
        <v>1427</v>
      </c>
      <c r="E13" s="100" t="s">
        <v>34</v>
      </c>
      <c r="F13" s="100" t="s">
        <v>35</v>
      </c>
      <c r="G13" s="184" t="s">
        <v>1440</v>
      </c>
      <c r="H13" s="187">
        <v>2022</v>
      </c>
      <c r="I13" s="199"/>
      <c r="J13" s="200"/>
    </row>
    <row r="14" spans="1:10" ht="75" x14ac:dyDescent="0.2">
      <c r="A14" s="100" t="s">
        <v>31</v>
      </c>
      <c r="B14" s="184">
        <v>18559619</v>
      </c>
      <c r="C14" s="184" t="s">
        <v>1441</v>
      </c>
      <c r="D14" s="100" t="s">
        <v>1427</v>
      </c>
      <c r="E14" s="100" t="s">
        <v>34</v>
      </c>
      <c r="F14" s="100" t="s">
        <v>102</v>
      </c>
      <c r="G14" s="184" t="s">
        <v>1442</v>
      </c>
      <c r="H14" s="187">
        <v>2022</v>
      </c>
      <c r="I14" s="199"/>
      <c r="J14" s="200"/>
    </row>
    <row r="15" spans="1:10" ht="15" x14ac:dyDescent="0.2">
      <c r="A15" s="100" t="s">
        <v>31</v>
      </c>
      <c r="B15" s="184" t="s">
        <v>31</v>
      </c>
      <c r="C15" s="184" t="s">
        <v>32</v>
      </c>
      <c r="D15" s="100" t="s">
        <v>1443</v>
      </c>
      <c r="E15" s="100" t="s">
        <v>34</v>
      </c>
      <c r="F15" s="100" t="s">
        <v>118</v>
      </c>
      <c r="G15" s="184" t="s">
        <v>1443</v>
      </c>
      <c r="H15" s="187">
        <v>2022</v>
      </c>
      <c r="I15" s="199"/>
      <c r="J15" s="200"/>
    </row>
    <row r="16" spans="1:10" ht="60" x14ac:dyDescent="0.2">
      <c r="A16" s="100" t="s">
        <v>1444</v>
      </c>
      <c r="B16" s="184">
        <v>17993513</v>
      </c>
      <c r="C16" s="184" t="s">
        <v>32</v>
      </c>
      <c r="D16" s="100" t="s">
        <v>1445</v>
      </c>
      <c r="E16" s="100" t="s">
        <v>34</v>
      </c>
      <c r="F16" s="100" t="s">
        <v>95</v>
      </c>
      <c r="G16" s="184" t="s">
        <v>1446</v>
      </c>
      <c r="H16" s="187">
        <v>2022</v>
      </c>
      <c r="I16" s="199"/>
      <c r="J16" s="200"/>
    </row>
    <row r="17" spans="1:11" ht="105" x14ac:dyDescent="0.2">
      <c r="A17" s="100" t="s">
        <v>1447</v>
      </c>
      <c r="B17" s="184">
        <v>13060089</v>
      </c>
      <c r="C17" s="184" t="s">
        <v>32</v>
      </c>
      <c r="D17" s="100" t="s">
        <v>1445</v>
      </c>
      <c r="E17" s="100" t="s">
        <v>34</v>
      </c>
      <c r="F17" s="100" t="s">
        <v>651</v>
      </c>
      <c r="G17" s="184" t="s">
        <v>1448</v>
      </c>
      <c r="H17" s="187">
        <v>2022</v>
      </c>
      <c r="I17" s="199"/>
      <c r="J17" s="200"/>
    </row>
    <row r="18" spans="1:11" ht="60" x14ac:dyDescent="0.2">
      <c r="A18" s="100" t="s">
        <v>1449</v>
      </c>
      <c r="B18" s="184">
        <v>17993404</v>
      </c>
      <c r="C18" s="184" t="s">
        <v>32</v>
      </c>
      <c r="D18" s="100" t="s">
        <v>1445</v>
      </c>
      <c r="E18" s="100" t="s">
        <v>34</v>
      </c>
      <c r="F18" s="100" t="s">
        <v>51</v>
      </c>
      <c r="G18" s="184" t="s">
        <v>1450</v>
      </c>
      <c r="H18" s="187">
        <v>2022</v>
      </c>
      <c r="I18" s="199"/>
      <c r="J18" s="200"/>
    </row>
    <row r="19" spans="1:11" ht="60" x14ac:dyDescent="0.2">
      <c r="A19" s="100" t="s">
        <v>1451</v>
      </c>
      <c r="B19" s="184">
        <v>18471423</v>
      </c>
      <c r="C19" s="189" t="s">
        <v>1452</v>
      </c>
      <c r="D19" s="100" t="s">
        <v>1445</v>
      </c>
      <c r="E19" s="100" t="s">
        <v>34</v>
      </c>
      <c r="F19" s="100" t="s">
        <v>95</v>
      </c>
      <c r="G19" s="184" t="s">
        <v>1453</v>
      </c>
      <c r="H19" s="187">
        <v>2022</v>
      </c>
      <c r="I19" s="199"/>
      <c r="J19" s="200"/>
    </row>
    <row r="20" spans="1:11" ht="30" x14ac:dyDescent="0.2">
      <c r="A20" s="100" t="s">
        <v>1454</v>
      </c>
      <c r="B20" s="184" t="s">
        <v>31</v>
      </c>
      <c r="C20" s="184" t="s">
        <v>32</v>
      </c>
      <c r="D20" s="100" t="s">
        <v>1455</v>
      </c>
      <c r="E20" s="100" t="s">
        <v>34</v>
      </c>
      <c r="F20" s="100" t="s">
        <v>64</v>
      </c>
      <c r="G20" s="184" t="s">
        <v>1456</v>
      </c>
      <c r="H20" s="187">
        <v>2022</v>
      </c>
      <c r="I20" s="199"/>
      <c r="J20" s="200"/>
    </row>
    <row r="21" spans="1:11" ht="15" x14ac:dyDescent="0.2">
      <c r="A21" s="100" t="s">
        <v>31</v>
      </c>
      <c r="B21" s="184" t="s">
        <v>31</v>
      </c>
      <c r="C21" s="184" t="s">
        <v>32</v>
      </c>
      <c r="D21" s="100" t="s">
        <v>1457</v>
      </c>
      <c r="E21" s="100" t="s">
        <v>34</v>
      </c>
      <c r="F21" s="100" t="s">
        <v>118</v>
      </c>
      <c r="G21" s="184" t="s">
        <v>1457</v>
      </c>
      <c r="H21" s="187">
        <v>2022</v>
      </c>
      <c r="I21" s="199"/>
      <c r="J21" s="200"/>
    </row>
    <row r="22" spans="1:11" ht="75" x14ac:dyDescent="0.2">
      <c r="A22" s="100" t="s">
        <v>31</v>
      </c>
      <c r="B22" s="184">
        <v>18540975</v>
      </c>
      <c r="C22" s="184" t="s">
        <v>1458</v>
      </c>
      <c r="D22" s="100" t="s">
        <v>1427</v>
      </c>
      <c r="E22" s="100" t="s">
        <v>34</v>
      </c>
      <c r="F22" s="100" t="s">
        <v>35</v>
      </c>
      <c r="G22" s="184" t="s">
        <v>1459</v>
      </c>
      <c r="H22" s="187">
        <v>2023</v>
      </c>
      <c r="I22" s="199"/>
      <c r="J22" s="200"/>
    </row>
    <row r="23" spans="1:11" ht="60" x14ac:dyDescent="0.2">
      <c r="A23" s="100" t="s">
        <v>31</v>
      </c>
      <c r="B23" s="184">
        <v>18540996</v>
      </c>
      <c r="C23" s="184" t="s">
        <v>1460</v>
      </c>
      <c r="D23" s="100" t="s">
        <v>1427</v>
      </c>
      <c r="E23" s="100" t="s">
        <v>34</v>
      </c>
      <c r="F23" s="100" t="s">
        <v>263</v>
      </c>
      <c r="G23" s="184" t="s">
        <v>1461</v>
      </c>
      <c r="H23" s="187">
        <v>2023</v>
      </c>
      <c r="I23" s="199"/>
      <c r="J23" s="200"/>
    </row>
    <row r="24" spans="1:11" ht="75" x14ac:dyDescent="0.2">
      <c r="A24" s="100" t="s">
        <v>31</v>
      </c>
      <c r="B24" s="184">
        <v>16700702</v>
      </c>
      <c r="C24" s="184" t="s">
        <v>1462</v>
      </c>
      <c r="D24" s="100" t="s">
        <v>1427</v>
      </c>
      <c r="E24" s="100" t="s">
        <v>34</v>
      </c>
      <c r="F24" s="100" t="s">
        <v>35</v>
      </c>
      <c r="G24" s="184" t="s">
        <v>1463</v>
      </c>
      <c r="H24" s="187">
        <v>2023</v>
      </c>
      <c r="I24" s="199"/>
      <c r="J24" s="200"/>
      <c r="K24" s="185"/>
    </row>
    <row r="25" spans="1:11" ht="75" x14ac:dyDescent="0.2">
      <c r="A25" s="100" t="s">
        <v>31</v>
      </c>
      <c r="B25" s="184">
        <v>16388095</v>
      </c>
      <c r="C25" s="184" t="s">
        <v>1464</v>
      </c>
      <c r="D25" s="100" t="s">
        <v>1427</v>
      </c>
      <c r="E25" s="100" t="s">
        <v>34</v>
      </c>
      <c r="F25" s="100" t="s">
        <v>35</v>
      </c>
      <c r="G25" s="184" t="s">
        <v>1465</v>
      </c>
      <c r="H25" s="187">
        <v>2023</v>
      </c>
      <c r="I25" s="199"/>
      <c r="J25" s="200"/>
    </row>
    <row r="26" spans="1:11" ht="75" x14ac:dyDescent="0.2">
      <c r="A26" s="100" t="s">
        <v>31</v>
      </c>
      <c r="B26" s="184">
        <v>18540981</v>
      </c>
      <c r="C26" s="184" t="s">
        <v>1466</v>
      </c>
      <c r="D26" s="100" t="s">
        <v>1427</v>
      </c>
      <c r="E26" s="100" t="s">
        <v>34</v>
      </c>
      <c r="F26" s="100" t="s">
        <v>95</v>
      </c>
      <c r="G26" s="184" t="s">
        <v>1467</v>
      </c>
      <c r="H26" s="187">
        <v>2023</v>
      </c>
      <c r="I26" s="199"/>
      <c r="J26" s="200"/>
    </row>
    <row r="27" spans="1:11" ht="60" x14ac:dyDescent="0.2">
      <c r="A27" s="100" t="s">
        <v>31</v>
      </c>
      <c r="B27" s="184">
        <v>18541018</v>
      </c>
      <c r="C27" s="184" t="s">
        <v>1468</v>
      </c>
      <c r="D27" s="100" t="s">
        <v>1427</v>
      </c>
      <c r="E27" s="100" t="s">
        <v>34</v>
      </c>
      <c r="F27" s="100" t="s">
        <v>35</v>
      </c>
      <c r="G27" s="184" t="s">
        <v>1469</v>
      </c>
      <c r="H27" s="187">
        <v>2023</v>
      </c>
      <c r="I27" s="199"/>
      <c r="J27" s="200"/>
    </row>
    <row r="28" spans="1:11" ht="15" x14ac:dyDescent="0.2">
      <c r="A28" s="100" t="s">
        <v>31</v>
      </c>
      <c r="B28" s="184" t="s">
        <v>31</v>
      </c>
      <c r="C28" s="184" t="s">
        <v>32</v>
      </c>
      <c r="D28" s="100" t="s">
        <v>1443</v>
      </c>
      <c r="E28" s="100" t="s">
        <v>34</v>
      </c>
      <c r="F28" s="100" t="s">
        <v>118</v>
      </c>
      <c r="G28" s="184" t="s">
        <v>1443</v>
      </c>
      <c r="H28" s="187">
        <v>2023</v>
      </c>
      <c r="I28" s="199"/>
      <c r="J28" s="200"/>
    </row>
    <row r="29" spans="1:11" ht="30" x14ac:dyDescent="0.2">
      <c r="A29" s="100" t="s">
        <v>1470</v>
      </c>
      <c r="B29" s="184">
        <v>18471421</v>
      </c>
      <c r="C29" s="189" t="s">
        <v>1471</v>
      </c>
      <c r="D29" s="100" t="s">
        <v>1445</v>
      </c>
      <c r="E29" s="100" t="s">
        <v>34</v>
      </c>
      <c r="F29" s="100" t="s">
        <v>102</v>
      </c>
      <c r="G29" s="184" t="s">
        <v>1472</v>
      </c>
      <c r="H29" s="187">
        <v>2023</v>
      </c>
      <c r="I29" s="199"/>
      <c r="J29" s="200"/>
    </row>
    <row r="30" spans="1:11" ht="75" x14ac:dyDescent="0.2">
      <c r="A30" s="100" t="s">
        <v>1473</v>
      </c>
      <c r="B30" s="184">
        <v>8103475</v>
      </c>
      <c r="C30" s="189" t="s">
        <v>1474</v>
      </c>
      <c r="D30" s="100" t="s">
        <v>1445</v>
      </c>
      <c r="E30" s="100" t="s">
        <v>34</v>
      </c>
      <c r="F30" s="100" t="s">
        <v>385</v>
      </c>
      <c r="G30" s="184" t="s">
        <v>1475</v>
      </c>
      <c r="H30" s="187">
        <v>2023</v>
      </c>
      <c r="I30" s="199"/>
      <c r="J30" s="200"/>
    </row>
    <row r="31" spans="1:11" ht="30" x14ac:dyDescent="0.2">
      <c r="A31" s="100" t="s">
        <v>1476</v>
      </c>
      <c r="B31" s="184" t="s">
        <v>31</v>
      </c>
      <c r="C31" s="184" t="s">
        <v>32</v>
      </c>
      <c r="D31" s="100" t="s">
        <v>1455</v>
      </c>
      <c r="E31" s="100" t="s">
        <v>34</v>
      </c>
      <c r="F31" s="100" t="s">
        <v>1477</v>
      </c>
      <c r="G31" s="184" t="s">
        <v>1478</v>
      </c>
      <c r="H31" s="187">
        <v>2023</v>
      </c>
      <c r="I31" s="199"/>
      <c r="J31" s="200"/>
    </row>
    <row r="32" spans="1:11" ht="30" x14ac:dyDescent="0.2">
      <c r="A32" s="100" t="s">
        <v>1479</v>
      </c>
      <c r="B32" s="184" t="s">
        <v>31</v>
      </c>
      <c r="C32" s="184" t="s">
        <v>32</v>
      </c>
      <c r="D32" s="100" t="s">
        <v>1455</v>
      </c>
      <c r="E32" s="100" t="s">
        <v>34</v>
      </c>
      <c r="F32" s="100" t="s">
        <v>1477</v>
      </c>
      <c r="G32" s="184" t="s">
        <v>1480</v>
      </c>
      <c r="H32" s="187">
        <v>2023</v>
      </c>
      <c r="I32" s="199"/>
      <c r="J32" s="200"/>
    </row>
    <row r="33" spans="1:11" ht="45" x14ac:dyDescent="0.2">
      <c r="A33" s="100" t="s">
        <v>1481</v>
      </c>
      <c r="B33" s="184" t="s">
        <v>31</v>
      </c>
      <c r="C33" s="184" t="s">
        <v>32</v>
      </c>
      <c r="D33" s="100" t="s">
        <v>1455</v>
      </c>
      <c r="E33" s="100" t="s">
        <v>34</v>
      </c>
      <c r="F33" s="100" t="s">
        <v>1482</v>
      </c>
      <c r="G33" s="184" t="s">
        <v>1483</v>
      </c>
      <c r="H33" s="187">
        <v>2023</v>
      </c>
      <c r="I33" s="199"/>
      <c r="J33" s="200"/>
    </row>
    <row r="34" spans="1:11" ht="45" x14ac:dyDescent="0.2">
      <c r="A34" s="100" t="s">
        <v>1484</v>
      </c>
      <c r="B34" s="184" t="s">
        <v>31</v>
      </c>
      <c r="C34" s="184" t="s">
        <v>32</v>
      </c>
      <c r="D34" s="100" t="s">
        <v>1455</v>
      </c>
      <c r="E34" s="100" t="s">
        <v>34</v>
      </c>
      <c r="F34" s="100" t="s">
        <v>1482</v>
      </c>
      <c r="G34" s="184" t="s">
        <v>1485</v>
      </c>
      <c r="H34" s="187">
        <v>2023</v>
      </c>
      <c r="I34" s="199"/>
      <c r="J34" s="200"/>
    </row>
    <row r="35" spans="1:11" ht="45" x14ac:dyDescent="0.2">
      <c r="A35" s="100" t="s">
        <v>1486</v>
      </c>
      <c r="B35" s="184" t="s">
        <v>31</v>
      </c>
      <c r="C35" s="184" t="s">
        <v>32</v>
      </c>
      <c r="D35" s="100" t="s">
        <v>1455</v>
      </c>
      <c r="E35" s="100" t="s">
        <v>34</v>
      </c>
      <c r="F35" s="100" t="s">
        <v>1482</v>
      </c>
      <c r="G35" s="184" t="s">
        <v>1487</v>
      </c>
      <c r="H35" s="187">
        <v>2023</v>
      </c>
      <c r="I35" s="199"/>
      <c r="J35" s="200"/>
    </row>
    <row r="36" spans="1:11" ht="30" x14ac:dyDescent="0.2">
      <c r="A36" s="100" t="s">
        <v>1488</v>
      </c>
      <c r="B36" s="184" t="s">
        <v>31</v>
      </c>
      <c r="C36" s="184" t="s">
        <v>32</v>
      </c>
      <c r="D36" s="100" t="s">
        <v>1455</v>
      </c>
      <c r="E36" s="100" t="s">
        <v>34</v>
      </c>
      <c r="F36" s="100" t="s">
        <v>51</v>
      </c>
      <c r="G36" s="184" t="s">
        <v>1489</v>
      </c>
      <c r="H36" s="187">
        <v>2023</v>
      </c>
      <c r="I36" s="199"/>
      <c r="J36" s="200"/>
      <c r="K36" s="185"/>
    </row>
    <row r="37" spans="1:11" ht="45" x14ac:dyDescent="0.2">
      <c r="A37" s="100">
        <v>5087</v>
      </c>
      <c r="B37" s="184" t="s">
        <v>31</v>
      </c>
      <c r="C37" s="184" t="s">
        <v>32</v>
      </c>
      <c r="D37" s="100" t="s">
        <v>1490</v>
      </c>
      <c r="E37" s="100" t="s">
        <v>66</v>
      </c>
      <c r="F37" s="100" t="s">
        <v>694</v>
      </c>
      <c r="G37" s="184" t="s">
        <v>1491</v>
      </c>
      <c r="H37" s="187">
        <v>2023</v>
      </c>
      <c r="I37" s="199"/>
      <c r="J37" s="200"/>
    </row>
    <row r="38" spans="1:11" ht="15" x14ac:dyDescent="0.2">
      <c r="A38" s="100" t="s">
        <v>31</v>
      </c>
      <c r="B38" s="184" t="s">
        <v>31</v>
      </c>
      <c r="C38" s="184" t="s">
        <v>32</v>
      </c>
      <c r="D38" s="100" t="s">
        <v>1457</v>
      </c>
      <c r="E38" s="100" t="s">
        <v>34</v>
      </c>
      <c r="F38" s="100" t="s">
        <v>118</v>
      </c>
      <c r="G38" s="184" t="s">
        <v>1457</v>
      </c>
      <c r="H38" s="187">
        <v>2023</v>
      </c>
      <c r="I38" s="199"/>
      <c r="J38" s="200"/>
    </row>
    <row r="39" spans="1:11" ht="60" x14ac:dyDescent="0.2">
      <c r="A39" s="100" t="s">
        <v>31</v>
      </c>
      <c r="B39" s="184">
        <v>15944624</v>
      </c>
      <c r="C39" s="184" t="s">
        <v>1492</v>
      </c>
      <c r="D39" s="100" t="s">
        <v>1427</v>
      </c>
      <c r="E39" s="100" t="s">
        <v>34</v>
      </c>
      <c r="F39" s="100" t="s">
        <v>35</v>
      </c>
      <c r="G39" s="184" t="s">
        <v>1493</v>
      </c>
      <c r="H39" s="187">
        <v>2024</v>
      </c>
      <c r="I39" s="199"/>
      <c r="J39" s="200"/>
    </row>
    <row r="40" spans="1:11" ht="15" x14ac:dyDescent="0.2">
      <c r="A40" s="100" t="s">
        <v>31</v>
      </c>
      <c r="B40" s="184" t="s">
        <v>31</v>
      </c>
      <c r="C40" s="184" t="s">
        <v>32</v>
      </c>
      <c r="D40" s="100" t="s">
        <v>1443</v>
      </c>
      <c r="E40" s="100" t="s">
        <v>34</v>
      </c>
      <c r="F40" s="100" t="s">
        <v>118</v>
      </c>
      <c r="G40" s="184" t="s">
        <v>1443</v>
      </c>
      <c r="H40" s="187">
        <v>2024</v>
      </c>
      <c r="I40" s="199"/>
      <c r="J40" s="200"/>
    </row>
    <row r="41" spans="1:11" ht="30" x14ac:dyDescent="0.2">
      <c r="A41" s="100" t="s">
        <v>1494</v>
      </c>
      <c r="B41" s="184" t="s">
        <v>31</v>
      </c>
      <c r="C41" s="184" t="s">
        <v>32</v>
      </c>
      <c r="D41" s="100" t="s">
        <v>1445</v>
      </c>
      <c r="E41" s="100" t="s">
        <v>34</v>
      </c>
      <c r="F41" s="100" t="s">
        <v>263</v>
      </c>
      <c r="G41" s="184" t="s">
        <v>1495</v>
      </c>
      <c r="H41" s="187">
        <v>2024</v>
      </c>
      <c r="I41" s="199"/>
      <c r="J41" s="200"/>
    </row>
    <row r="42" spans="1:11" ht="30" x14ac:dyDescent="0.2">
      <c r="A42" s="100" t="s">
        <v>1496</v>
      </c>
      <c r="B42" s="184" t="s">
        <v>31</v>
      </c>
      <c r="C42" s="184" t="s">
        <v>32</v>
      </c>
      <c r="D42" s="100" t="s">
        <v>1445</v>
      </c>
      <c r="E42" s="100" t="s">
        <v>34</v>
      </c>
      <c r="F42" s="100" t="s">
        <v>35</v>
      </c>
      <c r="G42" s="184" t="s">
        <v>1497</v>
      </c>
      <c r="H42" s="187">
        <v>2024</v>
      </c>
      <c r="I42" s="199"/>
      <c r="J42" s="200"/>
    </row>
    <row r="43" spans="1:11" ht="75" x14ac:dyDescent="0.2">
      <c r="A43" s="100" t="s">
        <v>1498</v>
      </c>
      <c r="B43" s="184" t="s">
        <v>31</v>
      </c>
      <c r="C43" s="184" t="s">
        <v>32</v>
      </c>
      <c r="D43" s="100" t="s">
        <v>1445</v>
      </c>
      <c r="E43" s="100" t="s">
        <v>34</v>
      </c>
      <c r="F43" s="100" t="s">
        <v>1499</v>
      </c>
      <c r="G43" s="184" t="s">
        <v>1500</v>
      </c>
      <c r="H43" s="187">
        <v>2024</v>
      </c>
      <c r="I43" s="199"/>
      <c r="J43" s="200"/>
    </row>
    <row r="44" spans="1:11" ht="60" x14ac:dyDescent="0.2">
      <c r="A44" s="100" t="s">
        <v>1501</v>
      </c>
      <c r="B44" s="184" t="s">
        <v>31</v>
      </c>
      <c r="C44" s="184" t="s">
        <v>32</v>
      </c>
      <c r="D44" s="100" t="s">
        <v>1445</v>
      </c>
      <c r="E44" s="100" t="s">
        <v>34</v>
      </c>
      <c r="F44" s="100" t="s">
        <v>1502</v>
      </c>
      <c r="G44" s="184" t="s">
        <v>1503</v>
      </c>
      <c r="H44" s="187">
        <v>2024</v>
      </c>
      <c r="I44" s="199"/>
      <c r="J44" s="200"/>
    </row>
    <row r="45" spans="1:11" ht="45" x14ac:dyDescent="0.2">
      <c r="A45" s="100" t="s">
        <v>1504</v>
      </c>
      <c r="B45" s="184" t="s">
        <v>31</v>
      </c>
      <c r="C45" s="184" t="s">
        <v>32</v>
      </c>
      <c r="D45" s="100" t="s">
        <v>1455</v>
      </c>
      <c r="E45" s="100" t="s">
        <v>34</v>
      </c>
      <c r="F45" s="100" t="s">
        <v>64</v>
      </c>
      <c r="G45" s="184" t="s">
        <v>1505</v>
      </c>
      <c r="H45" s="187">
        <v>2024</v>
      </c>
      <c r="I45" s="199"/>
      <c r="J45" s="200"/>
    </row>
    <row r="46" spans="1:11" ht="15" x14ac:dyDescent="0.2">
      <c r="A46" s="100" t="s">
        <v>31</v>
      </c>
      <c r="B46" s="184" t="s">
        <v>31</v>
      </c>
      <c r="C46" s="184" t="s">
        <v>32</v>
      </c>
      <c r="D46" s="100" t="s">
        <v>1457</v>
      </c>
      <c r="E46" s="100" t="s">
        <v>34</v>
      </c>
      <c r="F46" s="100" t="s">
        <v>118</v>
      </c>
      <c r="G46" s="184" t="s">
        <v>1457</v>
      </c>
      <c r="H46" s="187">
        <v>2024</v>
      </c>
      <c r="I46" s="199"/>
      <c r="J46" s="200"/>
    </row>
    <row r="47" spans="1:11" ht="15" x14ac:dyDescent="0.2">
      <c r="A47" s="100" t="s">
        <v>31</v>
      </c>
      <c r="B47" s="184" t="s">
        <v>31</v>
      </c>
      <c r="C47" s="184" t="s">
        <v>32</v>
      </c>
      <c r="D47" s="100" t="s">
        <v>1443</v>
      </c>
      <c r="E47" s="100" t="s">
        <v>34</v>
      </c>
      <c r="F47" s="100" t="s">
        <v>118</v>
      </c>
      <c r="G47" s="184" t="s">
        <v>1443</v>
      </c>
      <c r="H47" s="187">
        <v>2025</v>
      </c>
      <c r="I47" s="199"/>
      <c r="J47" s="200"/>
    </row>
    <row r="48" spans="1:11" ht="45" x14ac:dyDescent="0.2">
      <c r="A48" s="100" t="s">
        <v>1506</v>
      </c>
      <c r="B48" s="184" t="s">
        <v>31</v>
      </c>
      <c r="C48" s="184" t="s">
        <v>32</v>
      </c>
      <c r="D48" s="100" t="s">
        <v>1445</v>
      </c>
      <c r="E48" s="100" t="s">
        <v>34</v>
      </c>
      <c r="F48" s="100" t="s">
        <v>1507</v>
      </c>
      <c r="G48" s="184" t="s">
        <v>1508</v>
      </c>
      <c r="H48" s="187">
        <v>2025</v>
      </c>
      <c r="I48" s="199"/>
      <c r="J48" s="200"/>
    </row>
    <row r="49" spans="1:11" ht="60" x14ac:dyDescent="0.2">
      <c r="A49" s="100" t="s">
        <v>1509</v>
      </c>
      <c r="B49" s="184" t="s">
        <v>31</v>
      </c>
      <c r="C49" s="184" t="s">
        <v>32</v>
      </c>
      <c r="D49" s="100" t="s">
        <v>1445</v>
      </c>
      <c r="E49" s="100" t="s">
        <v>34</v>
      </c>
      <c r="F49" s="100" t="s">
        <v>263</v>
      </c>
      <c r="G49" s="184" t="s">
        <v>1510</v>
      </c>
      <c r="H49" s="187">
        <v>2025</v>
      </c>
      <c r="I49" s="199"/>
      <c r="J49" s="200"/>
    </row>
    <row r="50" spans="1:11" ht="60" x14ac:dyDescent="0.2">
      <c r="A50" s="100" t="s">
        <v>1511</v>
      </c>
      <c r="B50" s="184" t="s">
        <v>31</v>
      </c>
      <c r="C50" s="184" t="s">
        <v>32</v>
      </c>
      <c r="D50" s="100" t="s">
        <v>1445</v>
      </c>
      <c r="E50" s="100" t="s">
        <v>34</v>
      </c>
      <c r="F50" s="100" t="s">
        <v>102</v>
      </c>
      <c r="G50" s="184" t="s">
        <v>1512</v>
      </c>
      <c r="H50" s="187">
        <v>2025</v>
      </c>
      <c r="I50" s="199"/>
      <c r="J50" s="200"/>
    </row>
    <row r="51" spans="1:11" ht="15" x14ac:dyDescent="0.2">
      <c r="A51" s="100" t="s">
        <v>31</v>
      </c>
      <c r="B51" s="184" t="s">
        <v>31</v>
      </c>
      <c r="C51" s="184" t="s">
        <v>32</v>
      </c>
      <c r="D51" s="100" t="s">
        <v>1457</v>
      </c>
      <c r="E51" s="100" t="s">
        <v>34</v>
      </c>
      <c r="F51" s="100" t="s">
        <v>118</v>
      </c>
      <c r="G51" s="184" t="s">
        <v>1457</v>
      </c>
      <c r="H51" s="187">
        <v>2025</v>
      </c>
      <c r="I51" s="199"/>
      <c r="J51" s="200"/>
    </row>
    <row r="52" spans="1:11" ht="15" x14ac:dyDescent="0.2">
      <c r="A52" s="100" t="s">
        <v>31</v>
      </c>
      <c r="B52" s="184" t="s">
        <v>31</v>
      </c>
      <c r="C52" s="184" t="s">
        <v>32</v>
      </c>
      <c r="D52" s="100" t="s">
        <v>1443</v>
      </c>
      <c r="E52" s="100" t="s">
        <v>34</v>
      </c>
      <c r="F52" s="100" t="s">
        <v>118</v>
      </c>
      <c r="G52" s="184" t="s">
        <v>1443</v>
      </c>
      <c r="H52" s="187">
        <v>2026</v>
      </c>
      <c r="I52" s="199"/>
      <c r="J52" s="200"/>
    </row>
    <row r="53" spans="1:11" ht="45" x14ac:dyDescent="0.2">
      <c r="A53" s="100" t="s">
        <v>1513</v>
      </c>
      <c r="B53" s="184" t="s">
        <v>31</v>
      </c>
      <c r="C53" s="184" t="s">
        <v>32</v>
      </c>
      <c r="D53" s="100" t="s">
        <v>1445</v>
      </c>
      <c r="E53" s="100" t="s">
        <v>34</v>
      </c>
      <c r="F53" s="100" t="s">
        <v>84</v>
      </c>
      <c r="G53" s="184" t="s">
        <v>1514</v>
      </c>
      <c r="H53" s="187">
        <v>2026</v>
      </c>
      <c r="I53" s="199"/>
      <c r="J53" s="200"/>
    </row>
    <row r="54" spans="1:11" ht="30" x14ac:dyDescent="0.2">
      <c r="A54" s="100" t="s">
        <v>1515</v>
      </c>
      <c r="B54" s="184" t="s">
        <v>31</v>
      </c>
      <c r="C54" s="184" t="s">
        <v>32</v>
      </c>
      <c r="D54" s="100" t="s">
        <v>1455</v>
      </c>
      <c r="E54" s="100" t="s">
        <v>34</v>
      </c>
      <c r="F54" s="100" t="s">
        <v>51</v>
      </c>
      <c r="G54" s="184" t="s">
        <v>1516</v>
      </c>
      <c r="H54" s="187">
        <v>2026</v>
      </c>
      <c r="I54" s="199"/>
      <c r="J54" s="200"/>
    </row>
    <row r="55" spans="1:11" s="101" customFormat="1" ht="90" x14ac:dyDescent="0.2">
      <c r="A55" s="100" t="s">
        <v>1517</v>
      </c>
      <c r="B55" s="184" t="s">
        <v>31</v>
      </c>
      <c r="C55" s="184" t="s">
        <v>32</v>
      </c>
      <c r="D55" s="100" t="s">
        <v>1490</v>
      </c>
      <c r="E55" s="100" t="s">
        <v>34</v>
      </c>
      <c r="F55" s="100" t="s">
        <v>35</v>
      </c>
      <c r="G55" s="184" t="s">
        <v>1518</v>
      </c>
      <c r="H55" s="187">
        <v>2026</v>
      </c>
      <c r="I55" s="199"/>
      <c r="J55" s="200"/>
      <c r="K55" s="70"/>
    </row>
    <row r="56" spans="1:11" s="101" customFormat="1" ht="15" x14ac:dyDescent="0.2">
      <c r="A56" s="100" t="s">
        <v>31</v>
      </c>
      <c r="B56" s="184" t="s">
        <v>31</v>
      </c>
      <c r="C56" s="184" t="s">
        <v>32</v>
      </c>
      <c r="D56" s="100" t="s">
        <v>1457</v>
      </c>
      <c r="E56" s="100" t="s">
        <v>34</v>
      </c>
      <c r="F56" s="100" t="s">
        <v>118</v>
      </c>
      <c r="G56" s="184" t="s">
        <v>1457</v>
      </c>
      <c r="H56" s="187">
        <v>2026</v>
      </c>
      <c r="I56" s="199"/>
      <c r="J56" s="200"/>
      <c r="K56" s="70"/>
    </row>
    <row r="73" spans="10:10" x14ac:dyDescent="0.2">
      <c r="J73" s="191"/>
    </row>
  </sheetData>
  <sheetProtection formatCells="0" formatColumns="0" formatRows="0" selectLockedCells="1" sort="0" autoFilter="0" pivotTables="0"/>
  <sortState xmlns:xlrd2="http://schemas.microsoft.com/office/spreadsheetml/2017/richdata2" ref="A7:J56">
    <sortCondition ref="H7:H56"/>
    <sortCondition ref="D7:D56"/>
  </sortState>
  <mergeCells count="2">
    <mergeCell ref="A1:J1"/>
    <mergeCell ref="A2:J2"/>
  </mergeCells>
  <phoneticPr fontId="20" type="noConversion"/>
  <printOptions horizontalCentered="1"/>
  <pageMargins left="0.75" right="0.75" top="1" bottom="1" header="0.5" footer="0.5"/>
  <pageSetup scale="48" fitToHeight="0" orientation="landscape" r:id="rId1"/>
  <headerFooter scaleWithDoc="0">
    <oddHeader>&amp;RPetitioner's Exhibit No. 2
Attachment  &amp;A
CEI South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F62C1BAB7D1B4998D0BFFEC59B8AD2" ma:contentTypeVersion="25" ma:contentTypeDescription="Create a new document." ma:contentTypeScope="" ma:versionID="a29347074beb70bca29eaea2ad55900a">
  <xsd:schema xmlns:xsd="http://www.w3.org/2001/XMLSchema" xmlns:xs="http://www.w3.org/2001/XMLSchema" xmlns:p="http://schemas.microsoft.com/office/2006/metadata/properties" xmlns:ns1="http://schemas.microsoft.com/sharepoint/v3" xmlns:ns2="621b3311-adc9-44a7-af0e-36067350c19c" xmlns:ns3="99180bc4-2f7d-45e7-9e22-353907fb92c6" xmlns:ns4="f5536f26-5d7e-4d2b-a510-6667eeb1ad7c" xmlns:ns5="ddb5066c-6899-482b-9ea0-5145f9da9989" targetNamespace="http://schemas.microsoft.com/office/2006/metadata/properties" ma:root="true" ma:fieldsID="dd44e1d3607186ede97e4754c9758a79" ns1:_="" ns2:_="" ns3:_="" ns4:_="" ns5:_="">
    <xsd:import namespace="http://schemas.microsoft.com/sharepoint/v3"/>
    <xsd:import namespace="621b3311-adc9-44a7-af0e-36067350c19c"/>
    <xsd:import namespace="99180bc4-2f7d-45e7-9e22-353907fb92c6"/>
    <xsd:import namespace="f5536f26-5d7e-4d2b-a510-6667eeb1ad7c"/>
    <xsd:import namespace="ddb5066c-6899-482b-9ea0-5145f9da9989"/>
    <xsd:element name="properties">
      <xsd:complexType>
        <xsd:sequence>
          <xsd:element name="documentManagement">
            <xsd:complexType>
              <xsd:all>
                <xsd:element ref="ns2:ObjectId" minOccurs="0"/>
                <xsd:element ref="ns2:ItemId" minOccurs="0"/>
                <xsd:element ref="ns2:ItemNumber" minOccurs="0"/>
                <xsd:element ref="ns2:ItemDate" minOccurs="0"/>
                <xsd:element ref="ns2:Filename"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b3311-adc9-44a7-af0e-36067350c19c" elementFormDefault="qualified">
    <xsd:import namespace="http://schemas.microsoft.com/office/2006/documentManagement/types"/>
    <xsd:import namespace="http://schemas.microsoft.com/office/infopath/2007/PartnerControls"/>
    <xsd:element name="ObjectId" ma:index="2" nillable="true" ma:displayName="ObjectId" ma:internalName="ObjectId">
      <xsd:simpleType>
        <xsd:restriction base="dms:Text">
          <xsd:maxLength value="255"/>
        </xsd:restriction>
      </xsd:simpleType>
    </xsd:element>
    <xsd:element name="ItemId" ma:index="3" nillable="true" ma:displayName="ItemId" ma:indexed="true" ma:internalName="ItemId">
      <xsd:simpleType>
        <xsd:restriction base="dms:Text">
          <xsd:maxLength value="255"/>
        </xsd:restriction>
      </xsd:simpleType>
    </xsd:element>
    <xsd:element name="ItemNumber" ma:index="4" nillable="true" ma:displayName="ItemNumber" ma:indexed="true" ma:internalName="ItemNumber">
      <xsd:simpleType>
        <xsd:restriction base="dms:Text">
          <xsd:maxLength value="255"/>
        </xsd:restriction>
      </xsd:simpleType>
    </xsd:element>
    <xsd:element name="ItemDate" ma:index="5" nillable="true" ma:displayName="ItemDate" ma:format="DateOnly" ma:indexed="true" ma:internalName="ItemDate">
      <xsd:simpleType>
        <xsd:restriction base="dms:DateTime"/>
      </xsd:simpleType>
    </xsd:element>
    <xsd:element name="Filename" ma:index="6" nillable="true" ma:displayName="Filename"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180bc4-2f7d-45e7-9e22-353907fb92c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36f26-5d7e-4d2b-a510-6667eeb1ad7c"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6e7e882-9704-4d77-9765-cf8fe4d68a88}" ma:internalName="TaxCatchAll" ma:showField="CatchAllData" ma:web="fe36f78b-f2f5-469e-9861-ee46cd4ff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ItemNumber xmlns="621b3311-adc9-44a7-af0e-36067350c19c" xsi:nil="true"/>
    <ItemId xmlns="621b3311-adc9-44a7-af0e-36067350c19c" xsi:nil="true"/>
    <ItemDate xmlns="621b3311-adc9-44a7-af0e-36067350c19c" xsi:nil="true"/>
    <Filename xmlns="621b3311-adc9-44a7-af0e-36067350c19c" xsi:nil="true"/>
    <ObjectId xmlns="621b3311-adc9-44a7-af0e-36067350c19c" xsi:nil="true"/>
    <TaxCatchAll xmlns="ddb5066c-6899-482b-9ea0-5145f9da9989" xsi:nil="true"/>
    <lcf76f155ced4ddcb4097134ff3c332f xmlns="f5536f26-5d7e-4d2b-a510-6667eeb1ad7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F89932-0F39-4057-B78F-9699B1850662}"/>
</file>

<file path=customXml/itemProps2.xml><?xml version="1.0" encoding="utf-8"?>
<ds:datastoreItem xmlns:ds="http://schemas.openxmlformats.org/officeDocument/2006/customXml" ds:itemID="{9F57601C-FF91-49A6-A49C-1D39DC8BE68A}">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B886689-2424-45E9-9152-AA67E0792F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Cover Page</vt:lpstr>
      <vt:lpstr>SAH-2</vt:lpstr>
      <vt:lpstr>SAH-3</vt:lpstr>
      <vt:lpstr>SAH-4 (Public)</vt:lpstr>
      <vt:lpstr>SAH-5 (Public)</vt:lpstr>
      <vt:lpstr>SAH-6 (Public)</vt:lpstr>
      <vt:lpstr>SAH-7 (Public)</vt:lpstr>
      <vt:lpstr>SAH-8 (Public)</vt:lpstr>
      <vt:lpstr>SAH-9 (Public)</vt:lpstr>
      <vt:lpstr>'SAH-2'!Print_Area</vt:lpstr>
      <vt:lpstr>'SAH-3'!Print_Area</vt:lpstr>
      <vt:lpstr>'SAH-4 (Public)'!Print_Area</vt:lpstr>
      <vt:lpstr>'SAH-5 (Public)'!Print_Area</vt:lpstr>
      <vt:lpstr>'SAH-6 (Public)'!Print_Area</vt:lpstr>
      <vt:lpstr>'SAH-7 (Public)'!Print_Area</vt:lpstr>
      <vt:lpstr>'SAH-8 (Public)'!Print_Area</vt:lpstr>
      <vt:lpstr>'SAH-9 (Public)'!Print_Area</vt:lpstr>
      <vt:lpstr>'SAH-4 (Public)'!Print_Titles</vt:lpstr>
      <vt:lpstr>'SAH-5 (Public)'!Print_Titles</vt:lpstr>
      <vt:lpstr>'SAH-6 (Public)'!Print_Titles</vt:lpstr>
      <vt:lpstr>'SAH-7 (Public)'!Print_Titles</vt:lpstr>
      <vt:lpstr>'SAH-8 (Public)'!Print_Titles</vt:lpstr>
      <vt:lpstr>'SAH-9 (Public)'!Print_Titles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Meredith, Ashley</dc:creator>
  <cp:keywords/>
  <dc:description/>
  <cp:lastModifiedBy>Hunter, Stacy</cp:lastModifiedBy>
  <cp:revision/>
  <dcterms:created xsi:type="dcterms:W3CDTF">2021-08-31T01:36:48Z</dcterms:created>
  <dcterms:modified xsi:type="dcterms:W3CDTF">2021-09-10T20:24:36Z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0x01010017F62C1BAB7D1B4998D0BFFEC59B8AD2</vt:lpwstr>
  </property>
</Properties>
</file>