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erman\Desktop\30-Day Filing\"/>
    </mc:Choice>
  </mc:AlternateContent>
  <xr:revisionPtr revIDLastSave="0" documentId="8_{7FA6D903-CE7F-423F-AC7F-ECF7C6326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 Sheet" sheetId="6" r:id="rId1"/>
    <sheet name="Sheet3" sheetId="4" r:id="rId2"/>
    <sheet name="Sheet4" sheetId="5" r:id="rId3"/>
    <sheet name="Sheet2" sheetId="2" r:id="rId4"/>
    <sheet name="Sheet1" sheetId="3" r:id="rId5"/>
  </sheets>
  <definedNames>
    <definedName name="_xlnm.Print_Area" localSheetId="3">Sheet2!$A$1:$J$71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5" l="1"/>
  <c r="U25" i="5" s="1"/>
  <c r="V25" i="5" s="1"/>
  <c r="Q19" i="5"/>
  <c r="Q11" i="5"/>
  <c r="Q9" i="5"/>
  <c r="Q31" i="5"/>
  <c r="U31" i="5" s="1"/>
  <c r="K31" i="5"/>
  <c r="Q30" i="5"/>
  <c r="U30" i="5" s="1"/>
  <c r="V30" i="5" s="1"/>
  <c r="K30" i="5"/>
  <c r="Q29" i="5"/>
  <c r="K29" i="5"/>
  <c r="K25" i="5"/>
  <c r="Q24" i="5"/>
  <c r="K24" i="5"/>
  <c r="Q23" i="5"/>
  <c r="K23" i="5"/>
  <c r="Q20" i="5"/>
  <c r="K20" i="5"/>
  <c r="K19" i="5"/>
  <c r="Q16" i="5"/>
  <c r="U16" i="5" s="1"/>
  <c r="V16" i="5" s="1"/>
  <c r="K16" i="5"/>
  <c r="Q15" i="5"/>
  <c r="K15" i="5"/>
  <c r="Q14" i="5"/>
  <c r="U14" i="5" s="1"/>
  <c r="V14" i="5" s="1"/>
  <c r="K14" i="5"/>
  <c r="K11" i="5"/>
  <c r="Q10" i="5"/>
  <c r="K10" i="5"/>
  <c r="K9" i="5"/>
  <c r="K33" i="5" s="1"/>
  <c r="K36" i="5" s="1"/>
  <c r="J10" i="4"/>
  <c r="J7" i="4"/>
  <c r="Q31" i="3"/>
  <c r="Q30" i="3"/>
  <c r="Q29" i="3"/>
  <c r="Q25" i="3"/>
  <c r="Q24" i="3"/>
  <c r="Q23" i="3"/>
  <c r="Q20" i="3"/>
  <c r="Q19" i="3"/>
  <c r="U19" i="3" s="1"/>
  <c r="V19" i="3" s="1"/>
  <c r="Q16" i="3"/>
  <c r="Q15" i="3"/>
  <c r="Q14" i="3"/>
  <c r="Q11" i="3"/>
  <c r="U11" i="3" s="1"/>
  <c r="V11" i="3" s="1"/>
  <c r="Q10" i="3"/>
  <c r="Q9" i="3"/>
  <c r="K31" i="3"/>
  <c r="K30" i="3"/>
  <c r="U30" i="3" s="1"/>
  <c r="V30" i="3" s="1"/>
  <c r="K29" i="3"/>
  <c r="U29" i="3" s="1"/>
  <c r="V29" i="3" s="1"/>
  <c r="K25" i="3"/>
  <c r="K24" i="3"/>
  <c r="K23" i="3"/>
  <c r="U23" i="3" s="1"/>
  <c r="V23" i="3" s="1"/>
  <c r="K20" i="3"/>
  <c r="K19" i="3"/>
  <c r="K16" i="3"/>
  <c r="K15" i="3"/>
  <c r="U15" i="3" s="1"/>
  <c r="V15" i="3" s="1"/>
  <c r="K14" i="3"/>
  <c r="U14" i="3" s="1"/>
  <c r="V14" i="3" s="1"/>
  <c r="K11" i="3"/>
  <c r="K10" i="3"/>
  <c r="K9" i="3"/>
  <c r="U9" i="3" s="1"/>
  <c r="V9" i="3" s="1"/>
  <c r="H41" i="2"/>
  <c r="Q35" i="3" s="1"/>
  <c r="J29" i="2"/>
  <c r="H39" i="2" s="1"/>
  <c r="J10" i="2"/>
  <c r="L10" i="2" s="1"/>
  <c r="J7" i="2"/>
  <c r="U23" i="5" l="1"/>
  <c r="V23" i="5" s="1"/>
  <c r="U25" i="3"/>
  <c r="V25" i="3" s="1"/>
  <c r="U15" i="5"/>
  <c r="V15" i="5" s="1"/>
  <c r="U24" i="5"/>
  <c r="V24" i="5" s="1"/>
  <c r="Q35" i="5"/>
  <c r="H43" i="2"/>
  <c r="U10" i="5"/>
  <c r="V10" i="5" s="1"/>
  <c r="U29" i="5"/>
  <c r="V29" i="5" s="1"/>
  <c r="U11" i="5"/>
  <c r="V11" i="5" s="1"/>
  <c r="Q33" i="3"/>
  <c r="Q36" i="3" s="1"/>
  <c r="U20" i="3"/>
  <c r="V20" i="3" s="1"/>
  <c r="U20" i="5"/>
  <c r="V20" i="5" s="1"/>
  <c r="U19" i="5"/>
  <c r="V19" i="5" s="1"/>
  <c r="Q33" i="5"/>
  <c r="Q36" i="5" s="1"/>
  <c r="U9" i="5"/>
  <c r="V9" i="5"/>
  <c r="J12" i="4"/>
  <c r="K33" i="3"/>
  <c r="K36" i="3" s="1"/>
  <c r="U10" i="3"/>
  <c r="V10" i="3" s="1"/>
  <c r="U16" i="3"/>
  <c r="V16" i="3" s="1"/>
  <c r="U24" i="3"/>
  <c r="V24" i="3" s="1"/>
  <c r="U31" i="3"/>
  <c r="J12" i="2"/>
  <c r="J14" i="2" s="1"/>
  <c r="J17" i="2" s="1"/>
  <c r="L7" i="2"/>
  <c r="L12" i="2" s="1"/>
  <c r="H54" i="2" l="1"/>
  <c r="J54" i="2" s="1"/>
  <c r="H69" i="2"/>
  <c r="J69" i="2" s="1"/>
  <c r="H49" i="2"/>
  <c r="J49" i="2" s="1"/>
  <c r="H59" i="2"/>
  <c r="J59" i="2" s="1"/>
  <c r="H63" i="2"/>
  <c r="J63" i="2" s="1"/>
  <c r="U33" i="3"/>
  <c r="V33" i="3" s="1"/>
  <c r="U33" i="5"/>
  <c r="V33" i="5" s="1"/>
  <c r="J52" i="4"/>
  <c r="J50" i="4"/>
  <c r="J45" i="4"/>
  <c r="J41" i="4"/>
  <c r="J37" i="4"/>
  <c r="J35" i="4"/>
  <c r="J31" i="4"/>
  <c r="J51" i="4"/>
  <c r="J46" i="4"/>
  <c r="J44" i="4"/>
  <c r="J40" i="4"/>
  <c r="J36" i="4"/>
  <c r="J32" i="4"/>
  <c r="J30" i="4"/>
  <c r="J14" i="4"/>
  <c r="J17" i="4"/>
  <c r="L14" i="2"/>
  <c r="L17" i="2" s="1"/>
  <c r="L20" i="2" s="1"/>
  <c r="L22" i="2" s="1"/>
  <c r="J18" i="2"/>
  <c r="J20" i="2" s="1"/>
  <c r="J22" i="2" s="1"/>
  <c r="J18" i="4" l="1"/>
  <c r="J20" i="4" s="1"/>
  <c r="J22" i="4" s="1"/>
  <c r="H71" i="2"/>
  <c r="J71" i="2" s="1"/>
  <c r="H70" i="2"/>
  <c r="J70" i="2" s="1"/>
  <c r="H60" i="2"/>
  <c r="J60" i="2" s="1"/>
  <c r="H50" i="2"/>
  <c r="J50" i="2" s="1"/>
  <c r="H64" i="2"/>
  <c r="J64" i="2" s="1"/>
  <c r="H56" i="2"/>
  <c r="J56" i="2" s="1"/>
  <c r="H55" i="2"/>
  <c r="J55" i="2" s="1"/>
  <c r="H65" i="2"/>
  <c r="J65" i="2" s="1"/>
  <c r="H51" i="2"/>
  <c r="J51" i="2" s="1"/>
</calcChain>
</file>

<file path=xl/sharedStrings.xml><?xml version="1.0" encoding="utf-8"?>
<sst xmlns="http://schemas.openxmlformats.org/spreadsheetml/2006/main" count="162" uniqueCount="56">
  <si>
    <t>Total</t>
  </si>
  <si>
    <t>Rates</t>
  </si>
  <si>
    <t>Current</t>
  </si>
  <si>
    <t>Change</t>
  </si>
  <si>
    <t>Revised</t>
  </si>
  <si>
    <t>Customer Charge - per meter</t>
  </si>
  <si>
    <t>First 100 Therms per month -per Therm</t>
  </si>
  <si>
    <t>Over 100 Therms per month - per Therm</t>
  </si>
  <si>
    <t>Rate</t>
  </si>
  <si>
    <t>Calculation</t>
  </si>
  <si>
    <t>Revenues</t>
  </si>
  <si>
    <t>Federal Income Taxes</t>
  </si>
  <si>
    <t xml:space="preserve"> </t>
  </si>
  <si>
    <t>New Gross Revenue Conversion Factor</t>
  </si>
  <si>
    <t>Adjustment to total revenue</t>
  </si>
  <si>
    <t>TARIFF ADJUSTMENT AND NEW REVENUE GROSS UP FACTOR</t>
  </si>
  <si>
    <t>Income for tax purposes (Line 1 - Line 2 - Line 4)</t>
  </si>
  <si>
    <t>Income before Federal Income Taxes (Line 5 - Line 6)</t>
  </si>
  <si>
    <t>Income after Income Taxes (Line 7 - Line 8)</t>
  </si>
  <si>
    <t>Gross Revenue Conversion Factor (1 / Line 9)</t>
  </si>
  <si>
    <t>URT Adjustment (Line 11 * .014)</t>
  </si>
  <si>
    <t>URT adjustment (Line 14)</t>
  </si>
  <si>
    <t>Derivation of rate changes</t>
  </si>
  <si>
    <t>Required Percentage Change in Distribution Charges (Line 16 / Line 22)*-1</t>
  </si>
  <si>
    <t>Col. A</t>
  </si>
  <si>
    <t>Col. B</t>
  </si>
  <si>
    <t>COMMUNITY NATURAL GAS CORPORATION</t>
  </si>
  <si>
    <t>Less:  Uncollectible expense from Cause # 45214</t>
  </si>
  <si>
    <t>IURC fee from Cause # 45214</t>
  </si>
  <si>
    <t>State Income Taxes from Cause # 45214</t>
  </si>
  <si>
    <t>Revenues at Present Rates (Cause No. 45214)</t>
  </si>
  <si>
    <t>Residential Gas Service</t>
  </si>
  <si>
    <t>General Gas Service</t>
  </si>
  <si>
    <t>Industrial Gas Service</t>
  </si>
  <si>
    <t>Large Volume Gas Sales Service</t>
  </si>
  <si>
    <t>Large Volume High Load Factor Sales Service</t>
  </si>
  <si>
    <t>All Therms</t>
  </si>
  <si>
    <t>First 5,000 Therms per month -per Therms</t>
  </si>
  <si>
    <t>Over 5,000 Therms per month - per Therm</t>
  </si>
  <si>
    <t>First 9,000 Therms per month -per Therms</t>
  </si>
  <si>
    <t>Over 9,000 Therms per month - per Therm</t>
  </si>
  <si>
    <t>Revised Revenues at Present Rates (Line 15 + Line 16)</t>
  </si>
  <si>
    <t>Billing</t>
  </si>
  <si>
    <t>Quantities</t>
  </si>
  <si>
    <t xml:space="preserve">Current </t>
  </si>
  <si>
    <t>Margins at</t>
  </si>
  <si>
    <t>Present</t>
  </si>
  <si>
    <t xml:space="preserve">Proposed </t>
  </si>
  <si>
    <t>Proposed</t>
  </si>
  <si>
    <t>Change in Margins</t>
  </si>
  <si>
    <t>Dollars</t>
  </si>
  <si>
    <t>Percent</t>
  </si>
  <si>
    <t>REVENUE PROOF</t>
  </si>
  <si>
    <t>Community Natural Gas Company, Inc.</t>
  </si>
  <si>
    <t>30-Day Filing - URT Repeal</t>
  </si>
  <si>
    <t>Rates and Revenue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</si>
</sst>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_(* #,##0.00000_);_(* \(#,##0.00000\);_(* &quot;-&quot;??_);_(@_)"/>
    <numFmt numFmtId="168" formatCode="0.00000"/>
    <numFmt numFmtId="169" formatCode="_(* #,##0.000000_);_(* \(#,##0.000000\);_(* &quot;-&quot;??_);_(@_)"/>
    <numFmt numFmtId="170" formatCode="_(&quot;$&quot;* #,##0.00000_);_(&quot;$&quot;* \(#,##0.00000\);_(&quot;$&quot;* &quot;-&quot;??_);_(@_)"/>
    <numFmt numFmtId="171" formatCode="_(* #,##0.00000000_);_(* \(#,##0.00000000\);_(* &quot;-&quot;??_);_(@_)"/>
    <numFmt numFmtId="172" formatCode="0.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0" fontId="4" fillId="0" borderId="0" xfId="0" applyFont="1"/>
    <xf numFmtId="166" fontId="4" fillId="0" borderId="0" xfId="2" applyNumberFormat="1" applyFont="1" applyFill="1"/>
    <xf numFmtId="167" fontId="0" fillId="0" borderId="0" xfId="1" applyNumberFormat="1" applyFont="1"/>
    <xf numFmtId="0" fontId="5" fillId="0" borderId="0" xfId="0" applyFont="1" applyAlignment="1">
      <alignment horizontal="center"/>
    </xf>
    <xf numFmtId="43" fontId="0" fillId="0" borderId="0" xfId="1" applyFont="1"/>
    <xf numFmtId="168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0" fontId="0" fillId="0" borderId="1" xfId="0" applyBorder="1"/>
    <xf numFmtId="169" fontId="0" fillId="0" borderId="0" xfId="0" applyNumberFormat="1"/>
    <xf numFmtId="0" fontId="0" fillId="0" borderId="2" xfId="0" applyBorder="1"/>
    <xf numFmtId="0" fontId="0" fillId="0" borderId="0" xfId="0" applyBorder="1"/>
    <xf numFmtId="164" fontId="0" fillId="0" borderId="2" xfId="0" applyNumberFormat="1" applyBorder="1"/>
    <xf numFmtId="164" fontId="0" fillId="0" borderId="1" xfId="0" applyNumberFormat="1" applyBorder="1"/>
    <xf numFmtId="0" fontId="3" fillId="0" borderId="0" xfId="0" applyFont="1"/>
    <xf numFmtId="0" fontId="6" fillId="0" borderId="0" xfId="0" applyFont="1"/>
    <xf numFmtId="2" fontId="0" fillId="0" borderId="0" xfId="0" applyNumberFormat="1"/>
    <xf numFmtId="44" fontId="0" fillId="0" borderId="0" xfId="3" applyFont="1"/>
    <xf numFmtId="164" fontId="0" fillId="0" borderId="0" xfId="3" applyNumberFormat="1" applyFont="1"/>
    <xf numFmtId="170" fontId="0" fillId="0" borderId="0" xfId="3" applyNumberFormat="1" applyFont="1"/>
    <xf numFmtId="171" fontId="0" fillId="0" borderId="0" xfId="1" applyNumberFormat="1" applyFont="1"/>
    <xf numFmtId="43" fontId="0" fillId="0" borderId="0" xfId="0" applyNumberFormat="1"/>
    <xf numFmtId="172" fontId="0" fillId="0" borderId="0" xfId="2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57150</xdr:rowOff>
    </xdr:from>
    <xdr:to>
      <xdr:col>4</xdr:col>
      <xdr:colOff>143150</xdr:colOff>
      <xdr:row>8</xdr:row>
      <xdr:rowOff>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4C4DA-74E1-44D4-B3AB-1377ED89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09650"/>
          <a:ext cx="1971950" cy="514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tabSelected="1" workbookViewId="0">
      <selection activeCell="H10" sqref="H10"/>
    </sheetView>
  </sheetViews>
  <sheetFormatPr defaultRowHeight="15" x14ac:dyDescent="0.25"/>
  <sheetData>
    <row r="3" spans="2:2" x14ac:dyDescent="0.25">
      <c r="B3" t="s">
        <v>53</v>
      </c>
    </row>
    <row r="4" spans="2:2" x14ac:dyDescent="0.25">
      <c r="B4" t="s">
        <v>54</v>
      </c>
    </row>
    <row r="5" spans="2:2" x14ac:dyDescent="0.25">
      <c r="B5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workbookViewId="0">
      <selection activeCell="G24" sqref="G24"/>
    </sheetView>
  </sheetViews>
  <sheetFormatPr defaultRowHeight="15" x14ac:dyDescent="0.25"/>
  <cols>
    <col min="1" max="1" width="4" style="10" bestFit="1" customWidth="1"/>
    <col min="3" max="3" width="5.7109375" customWidth="1"/>
    <col min="4" max="7" width="15.7109375" customWidth="1"/>
    <col min="8" max="8" width="14.7109375" bestFit="1" customWidth="1"/>
    <col min="9" max="9" width="2.7109375" customWidth="1"/>
    <col min="10" max="10" width="14.7109375" bestFit="1" customWidth="1"/>
    <col min="11" max="12" width="2.7109375" customWidth="1"/>
    <col min="13" max="13" width="13.7109375" customWidth="1"/>
    <col min="14" max="14" width="2.7109375" customWidth="1"/>
    <col min="15" max="15" width="11.28515625" bestFit="1" customWidth="1"/>
    <col min="16" max="16" width="2.7109375" customWidth="1"/>
  </cols>
  <sheetData>
    <row r="1" spans="1:11" ht="15.75" x14ac:dyDescent="0.25">
      <c r="B1" s="19" t="s">
        <v>26</v>
      </c>
      <c r="C1" s="19"/>
    </row>
    <row r="2" spans="1:11" ht="15.75" x14ac:dyDescent="0.25">
      <c r="B2" s="19" t="s">
        <v>15</v>
      </c>
      <c r="C2" s="19"/>
    </row>
    <row r="4" spans="1:11" x14ac:dyDescent="0.25">
      <c r="B4" s="18" t="s">
        <v>13</v>
      </c>
      <c r="C4" s="18"/>
      <c r="D4" s="18"/>
      <c r="E4" s="18"/>
      <c r="J4" s="10" t="s">
        <v>24</v>
      </c>
      <c r="K4" s="10"/>
    </row>
    <row r="5" spans="1:11" x14ac:dyDescent="0.25">
      <c r="H5" s="10" t="s">
        <v>8</v>
      </c>
      <c r="J5" s="10" t="s">
        <v>9</v>
      </c>
    </row>
    <row r="6" spans="1:11" x14ac:dyDescent="0.25">
      <c r="A6" s="10">
        <v>1</v>
      </c>
      <c r="B6" t="s">
        <v>10</v>
      </c>
      <c r="J6" s="11">
        <v>1</v>
      </c>
    </row>
    <row r="7" spans="1:11" x14ac:dyDescent="0.25">
      <c r="A7" s="10">
        <v>2</v>
      </c>
      <c r="B7" t="s">
        <v>27</v>
      </c>
      <c r="H7">
        <v>4.0990669317156761E-3</v>
      </c>
      <c r="J7" s="12">
        <f>ROUND(+J6*H7,10)</f>
        <v>4.0990669E-3</v>
      </c>
    </row>
    <row r="9" spans="1:11" x14ac:dyDescent="0.25">
      <c r="A9" s="10">
        <v>3</v>
      </c>
      <c r="B9" t="s">
        <v>10</v>
      </c>
      <c r="J9" s="2">
        <v>100</v>
      </c>
    </row>
    <row r="10" spans="1:11" x14ac:dyDescent="0.25">
      <c r="A10" s="10">
        <v>4</v>
      </c>
      <c r="B10" t="s">
        <v>28</v>
      </c>
      <c r="H10">
        <v>1.296408E-3</v>
      </c>
      <c r="J10" s="12">
        <f>ROUND(J6*H10,10)</f>
        <v>1.296408E-3</v>
      </c>
    </row>
    <row r="12" spans="1:11" x14ac:dyDescent="0.25">
      <c r="A12" s="10">
        <v>5</v>
      </c>
      <c r="B12" t="s">
        <v>16</v>
      </c>
      <c r="J12" s="6">
        <f>+J6-J7-J10</f>
        <v>0.99460452510000008</v>
      </c>
    </row>
    <row r="14" spans="1:11" x14ac:dyDescent="0.25">
      <c r="A14" s="10">
        <v>6</v>
      </c>
      <c r="B14" t="s">
        <v>29</v>
      </c>
      <c r="H14">
        <v>5.5E-2</v>
      </c>
      <c r="J14" s="12">
        <f>+J12*H14</f>
        <v>5.4703248880500002E-2</v>
      </c>
    </row>
    <row r="17" spans="1:17" x14ac:dyDescent="0.25">
      <c r="A17" s="10">
        <v>7</v>
      </c>
      <c r="B17" t="s">
        <v>17</v>
      </c>
      <c r="J17" s="13">
        <f>+J12-J14</f>
        <v>0.93990127621950004</v>
      </c>
    </row>
    <row r="18" spans="1:17" x14ac:dyDescent="0.25">
      <c r="A18" s="10">
        <v>8</v>
      </c>
      <c r="B18" t="s">
        <v>11</v>
      </c>
      <c r="F18" t="s">
        <v>12</v>
      </c>
      <c r="H18">
        <v>0.21</v>
      </c>
      <c r="J18" s="12">
        <f>ROUND(J17*H18,10)</f>
        <v>0.197379268</v>
      </c>
    </row>
    <row r="20" spans="1:17" x14ac:dyDescent="0.25">
      <c r="A20" s="10">
        <v>9</v>
      </c>
      <c r="B20" t="s">
        <v>18</v>
      </c>
      <c r="J20" s="12">
        <f>J17-J18</f>
        <v>0.7425220082195001</v>
      </c>
    </row>
    <row r="22" spans="1:17" ht="15.75" thickBot="1" x14ac:dyDescent="0.3">
      <c r="A22" s="10">
        <v>10</v>
      </c>
      <c r="B22" t="s">
        <v>19</v>
      </c>
      <c r="J22" s="14">
        <f>ROUND(J6/J20,10)</f>
        <v>1.3467614279</v>
      </c>
    </row>
    <row r="23" spans="1:17" ht="15.75" thickTop="1" x14ac:dyDescent="0.25">
      <c r="J23" s="15"/>
    </row>
    <row r="24" spans="1:17" x14ac:dyDescent="0.25">
      <c r="J24" s="15"/>
    </row>
    <row r="25" spans="1:17" x14ac:dyDescent="0.25">
      <c r="A25"/>
      <c r="Q25" s="3"/>
    </row>
    <row r="26" spans="1:17" x14ac:dyDescent="0.25">
      <c r="A26"/>
      <c r="Q26" s="3"/>
    </row>
    <row r="27" spans="1:17" x14ac:dyDescent="0.25">
      <c r="A27"/>
      <c r="B27" t="s">
        <v>1</v>
      </c>
      <c r="Q27" s="3"/>
    </row>
    <row r="28" spans="1:17" x14ac:dyDescent="0.25">
      <c r="A28"/>
      <c r="G28" s="7" t="s">
        <v>2</v>
      </c>
      <c r="H28" s="7" t="s">
        <v>3</v>
      </c>
      <c r="J28" s="7" t="s">
        <v>4</v>
      </c>
      <c r="Q28" s="3"/>
    </row>
    <row r="29" spans="1:17" x14ac:dyDescent="0.25">
      <c r="A29"/>
      <c r="B29" t="s">
        <v>31</v>
      </c>
      <c r="Q29" s="3"/>
    </row>
    <row r="30" spans="1:17" x14ac:dyDescent="0.25">
      <c r="A30"/>
      <c r="C30" t="s">
        <v>5</v>
      </c>
      <c r="G30" s="8">
        <v>13</v>
      </c>
      <c r="H30" s="6">
        <v>-1.4E-2</v>
      </c>
      <c r="J30" s="20">
        <f>ROUND(G30+(G30*H30),2)</f>
        <v>12.82</v>
      </c>
      <c r="Q30" s="3"/>
    </row>
    <row r="31" spans="1:17" x14ac:dyDescent="0.25">
      <c r="A31"/>
      <c r="C31" t="s">
        <v>6</v>
      </c>
      <c r="G31" s="6">
        <v>0.51092000000000004</v>
      </c>
      <c r="H31" s="6">
        <v>-1.4E-2</v>
      </c>
      <c r="J31" s="9">
        <f>ROUND(G31+(G31*H31),5)</f>
        <v>0.50377000000000005</v>
      </c>
      <c r="Q31" s="3"/>
    </row>
    <row r="32" spans="1:17" x14ac:dyDescent="0.25">
      <c r="A32"/>
      <c r="C32" t="s">
        <v>7</v>
      </c>
      <c r="G32" s="6">
        <v>0.34132000000000001</v>
      </c>
      <c r="H32" s="6">
        <v>-1.4E-2</v>
      </c>
      <c r="J32" s="9">
        <f>ROUND(G32+(G32*H32),5)</f>
        <v>0.33654000000000001</v>
      </c>
      <c r="Q32" s="3"/>
    </row>
    <row r="33" spans="1:17" x14ac:dyDescent="0.25">
      <c r="A33"/>
      <c r="H33" s="6"/>
      <c r="Q33" s="3"/>
    </row>
    <row r="34" spans="1:17" x14ac:dyDescent="0.25">
      <c r="A34"/>
      <c r="B34" t="s">
        <v>32</v>
      </c>
      <c r="G34" s="8"/>
      <c r="H34" s="6"/>
      <c r="J34" s="8"/>
      <c r="Q34" s="3"/>
    </row>
    <row r="35" spans="1:17" x14ac:dyDescent="0.25">
      <c r="A35"/>
      <c r="C35" t="s">
        <v>5</v>
      </c>
      <c r="G35" s="8">
        <v>30</v>
      </c>
      <c r="H35" s="6">
        <v>-1.4E-2</v>
      </c>
      <c r="J35" s="20">
        <f>ROUND(G35+(G35*H35),2)</f>
        <v>29.58</v>
      </c>
      <c r="Q35" s="3"/>
    </row>
    <row r="36" spans="1:17" x14ac:dyDescent="0.25">
      <c r="A36"/>
      <c r="C36" t="s">
        <v>6</v>
      </c>
      <c r="G36" s="6">
        <v>0.32879000000000003</v>
      </c>
      <c r="H36" s="6">
        <v>-1.4E-2</v>
      </c>
      <c r="J36" s="9">
        <f>ROUND(G36+(G36*H36),5)</f>
        <v>0.32418999999999998</v>
      </c>
      <c r="Q36" s="3"/>
    </row>
    <row r="37" spans="1:17" x14ac:dyDescent="0.25">
      <c r="A37"/>
      <c r="C37" t="s">
        <v>7</v>
      </c>
      <c r="G37" s="6">
        <v>0.25839000000000001</v>
      </c>
      <c r="H37" s="6">
        <v>-1.4E-2</v>
      </c>
      <c r="J37" s="9">
        <f>ROUND(G37+(G37*H37),5)</f>
        <v>0.25477</v>
      </c>
      <c r="Q37" s="3"/>
    </row>
    <row r="38" spans="1:17" x14ac:dyDescent="0.25">
      <c r="A38"/>
      <c r="H38" s="6"/>
      <c r="Q38" s="3"/>
    </row>
    <row r="39" spans="1:17" x14ac:dyDescent="0.25">
      <c r="A39"/>
      <c r="B39" t="s">
        <v>33</v>
      </c>
      <c r="H39" s="6"/>
      <c r="Q39" s="3"/>
    </row>
    <row r="40" spans="1:17" x14ac:dyDescent="0.25">
      <c r="A40"/>
      <c r="C40" t="s">
        <v>5</v>
      </c>
      <c r="G40" s="8">
        <v>90</v>
      </c>
      <c r="H40" s="6">
        <v>-1.4E-2</v>
      </c>
      <c r="J40" s="20">
        <f>ROUND(G40+(G40*H40),2)</f>
        <v>88.74</v>
      </c>
      <c r="Q40" s="3"/>
    </row>
    <row r="41" spans="1:17" x14ac:dyDescent="0.25">
      <c r="A41"/>
      <c r="C41" t="s">
        <v>36</v>
      </c>
      <c r="G41" s="6">
        <v>0.24462999999999999</v>
      </c>
      <c r="H41" s="6">
        <v>-1.4E-2</v>
      </c>
      <c r="J41" s="9">
        <f>ROUND(G41+(G41*H41),5)</f>
        <v>0.24121000000000001</v>
      </c>
      <c r="Q41" s="3"/>
    </row>
    <row r="42" spans="1:17" x14ac:dyDescent="0.25">
      <c r="A42"/>
      <c r="H42" s="6"/>
      <c r="Q42" s="3"/>
    </row>
    <row r="43" spans="1:17" x14ac:dyDescent="0.25">
      <c r="A43"/>
      <c r="B43" t="s">
        <v>34</v>
      </c>
      <c r="H43" s="6"/>
      <c r="Q43" s="3"/>
    </row>
    <row r="44" spans="1:17" x14ac:dyDescent="0.25">
      <c r="A44"/>
      <c r="C44" t="s">
        <v>5</v>
      </c>
      <c r="G44" s="8">
        <v>900</v>
      </c>
      <c r="H44" s="6">
        <v>-1.4E-2</v>
      </c>
      <c r="J44" s="20">
        <f>ROUND(G44+(G44*H44),2)</f>
        <v>887.4</v>
      </c>
      <c r="Q44" s="3"/>
    </row>
    <row r="45" spans="1:17" x14ac:dyDescent="0.25">
      <c r="A45"/>
      <c r="C45" t="s">
        <v>37</v>
      </c>
      <c r="G45" s="6">
        <v>0.19198999999999999</v>
      </c>
      <c r="H45" s="6">
        <v>-1.4E-2</v>
      </c>
      <c r="J45" s="9">
        <f>ROUND(G45+(G45*H45),5)</f>
        <v>0.1893</v>
      </c>
      <c r="Q45" s="3"/>
    </row>
    <row r="46" spans="1:17" x14ac:dyDescent="0.25">
      <c r="A46"/>
      <c r="C46" t="s">
        <v>38</v>
      </c>
      <c r="G46" s="6">
        <v>0.15698999999999999</v>
      </c>
      <c r="H46" s="6">
        <v>-1.4E-2</v>
      </c>
      <c r="J46" s="9">
        <f>ROUND(G46+(G46*H46),5)</f>
        <v>0.15479000000000001</v>
      </c>
      <c r="Q46" s="3"/>
    </row>
    <row r="47" spans="1:17" x14ac:dyDescent="0.25">
      <c r="H47" s="6"/>
      <c r="Q47" s="3"/>
    </row>
    <row r="48" spans="1:17" x14ac:dyDescent="0.25">
      <c r="H48" s="6"/>
      <c r="Q48" s="3"/>
    </row>
    <row r="49" spans="2:17" x14ac:dyDescent="0.25">
      <c r="B49" t="s">
        <v>35</v>
      </c>
      <c r="H49" s="6"/>
      <c r="Q49" s="3"/>
    </row>
    <row r="50" spans="2:17" x14ac:dyDescent="0.25">
      <c r="C50" t="s">
        <v>5</v>
      </c>
      <c r="G50" s="8">
        <v>900</v>
      </c>
      <c r="H50" s="6">
        <v>-1.4E-2</v>
      </c>
      <c r="J50" s="20">
        <f>ROUND(G50+(G50*H50),2)</f>
        <v>887.4</v>
      </c>
      <c r="Q50" s="3"/>
    </row>
    <row r="51" spans="2:17" x14ac:dyDescent="0.25">
      <c r="C51" t="s">
        <v>39</v>
      </c>
      <c r="G51">
        <v>0.12947</v>
      </c>
      <c r="H51" s="6">
        <v>-1.4E-2</v>
      </c>
      <c r="J51" s="9">
        <f>ROUND(G51+(G51*H51),5)</f>
        <v>0.12766</v>
      </c>
    </row>
    <row r="52" spans="2:17" x14ac:dyDescent="0.25">
      <c r="C52" t="s">
        <v>40</v>
      </c>
      <c r="G52">
        <v>5.4850000000000003E-2</v>
      </c>
      <c r="H52" s="6">
        <v>-1.4E-2</v>
      </c>
      <c r="J52" s="9">
        <f>ROUND(G52+(G52*H52),5)</f>
        <v>5.4080000000000003E-2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workbookViewId="0">
      <selection activeCell="E12" sqref="E12"/>
    </sheetView>
  </sheetViews>
  <sheetFormatPr defaultRowHeight="15" x14ac:dyDescent="0.25"/>
  <cols>
    <col min="7" max="7" width="10.5703125" bestFit="1" customWidth="1"/>
    <col min="8" max="8" width="2.7109375" customWidth="1"/>
    <col min="9" max="9" width="11" bestFit="1" customWidth="1"/>
    <col min="10" max="10" width="2.7109375" customWidth="1"/>
    <col min="11" max="11" width="15.28515625" bestFit="1" customWidth="1"/>
    <col min="12" max="14" width="2.7109375" customWidth="1"/>
    <col min="15" max="15" width="10" bestFit="1" customWidth="1"/>
    <col min="16" max="16" width="2.7109375" customWidth="1"/>
    <col min="17" max="17" width="12" bestFit="1" customWidth="1"/>
    <col min="18" max="20" width="2.7109375" customWidth="1"/>
    <col min="21" max="21" width="9.28515625" customWidth="1"/>
  </cols>
  <sheetData>
    <row r="1" spans="1:22" x14ac:dyDescent="0.25">
      <c r="A1" s="18" t="s">
        <v>26</v>
      </c>
    </row>
    <row r="2" spans="1:22" x14ac:dyDescent="0.25">
      <c r="A2" s="18" t="s">
        <v>52</v>
      </c>
    </row>
    <row r="5" spans="1:22" x14ac:dyDescent="0.25">
      <c r="G5" t="s">
        <v>42</v>
      </c>
      <c r="I5" t="s">
        <v>44</v>
      </c>
      <c r="K5" t="s">
        <v>45</v>
      </c>
      <c r="O5" t="s">
        <v>47</v>
      </c>
      <c r="Q5" t="s">
        <v>45</v>
      </c>
      <c r="U5" t="s">
        <v>49</v>
      </c>
    </row>
    <row r="6" spans="1:22" x14ac:dyDescent="0.25">
      <c r="A6" t="s">
        <v>1</v>
      </c>
      <c r="G6" t="s">
        <v>43</v>
      </c>
      <c r="I6" t="s">
        <v>1</v>
      </c>
      <c r="K6" t="s">
        <v>46</v>
      </c>
      <c r="O6" t="s">
        <v>1</v>
      </c>
      <c r="Q6" t="s">
        <v>48</v>
      </c>
      <c r="U6" t="s">
        <v>50</v>
      </c>
      <c r="V6" t="s">
        <v>51</v>
      </c>
    </row>
    <row r="8" spans="1:22" x14ac:dyDescent="0.25">
      <c r="A8" t="s">
        <v>31</v>
      </c>
    </row>
    <row r="9" spans="1:22" x14ac:dyDescent="0.25">
      <c r="B9" t="s">
        <v>5</v>
      </c>
      <c r="G9" s="2">
        <v>80001</v>
      </c>
      <c r="I9" s="21">
        <v>13</v>
      </c>
      <c r="K9" s="22">
        <f>ROUND(G9*I9,0)</f>
        <v>1040013</v>
      </c>
      <c r="O9" s="20">
        <v>12.82</v>
      </c>
      <c r="Q9" s="22">
        <f>ROUND(O9*G9,0)</f>
        <v>1025613</v>
      </c>
      <c r="U9" s="22">
        <f>+K9-Q9</f>
        <v>14400</v>
      </c>
      <c r="V9" s="26">
        <f>+U9/K9</f>
        <v>1.3845980771394205E-2</v>
      </c>
    </row>
    <row r="10" spans="1:22" x14ac:dyDescent="0.25">
      <c r="B10" t="s">
        <v>6</v>
      </c>
      <c r="G10" s="2">
        <v>3450426</v>
      </c>
      <c r="I10" s="23">
        <v>0.51092000000000004</v>
      </c>
      <c r="K10" s="22">
        <f>ROUND(G10*I10,0)</f>
        <v>1762892</v>
      </c>
      <c r="O10" s="9">
        <v>0.50377000000000005</v>
      </c>
      <c r="Q10" s="22">
        <f>ROUND(O10*G10,0)</f>
        <v>1738221</v>
      </c>
      <c r="U10" s="22">
        <f>+K10-Q10</f>
        <v>24671</v>
      </c>
      <c r="V10" s="26">
        <f>+U10/K10</f>
        <v>1.3994617934621065E-2</v>
      </c>
    </row>
    <row r="11" spans="1:22" x14ac:dyDescent="0.25">
      <c r="B11" t="s">
        <v>7</v>
      </c>
      <c r="G11" s="2">
        <v>1013443</v>
      </c>
      <c r="I11" s="23">
        <v>0.34132000000000001</v>
      </c>
      <c r="K11" s="22">
        <f>ROUND(G11*I11,0)</f>
        <v>345908</v>
      </c>
      <c r="O11" s="9">
        <v>0.33654000000000001</v>
      </c>
      <c r="Q11" s="22">
        <f>ROUND(O11*G11,0)</f>
        <v>341064</v>
      </c>
      <c r="U11" s="22">
        <f>+K11-Q11</f>
        <v>4844</v>
      </c>
      <c r="V11" s="26">
        <f>+U11/K11</f>
        <v>1.4003723533425072E-2</v>
      </c>
    </row>
    <row r="12" spans="1:22" x14ac:dyDescent="0.25">
      <c r="G12" s="2"/>
      <c r="I12" s="21"/>
      <c r="K12" s="22"/>
      <c r="Q12" s="22"/>
      <c r="U12" s="22"/>
      <c r="V12" s="26"/>
    </row>
    <row r="13" spans="1:22" x14ac:dyDescent="0.25">
      <c r="A13" t="s">
        <v>32</v>
      </c>
      <c r="G13" s="2"/>
      <c r="I13" s="21"/>
      <c r="K13" s="22"/>
      <c r="O13" s="8"/>
      <c r="Q13" s="22"/>
      <c r="U13" s="22"/>
      <c r="V13" s="26"/>
    </row>
    <row r="14" spans="1:22" x14ac:dyDescent="0.25">
      <c r="B14" t="s">
        <v>5</v>
      </c>
      <c r="G14" s="2">
        <v>9705</v>
      </c>
      <c r="I14" s="21">
        <v>30</v>
      </c>
      <c r="K14" s="22">
        <f>ROUND(G14*I14,0)</f>
        <v>291150</v>
      </c>
      <c r="O14" s="20">
        <v>29.58</v>
      </c>
      <c r="Q14" s="22">
        <f>ROUND(O14*G14,0)</f>
        <v>287074</v>
      </c>
      <c r="U14" s="22">
        <f>+K14-Q14</f>
        <v>4076</v>
      </c>
      <c r="V14" s="26">
        <f>+U14/K14</f>
        <v>1.3999656534432423E-2</v>
      </c>
    </row>
    <row r="15" spans="1:22" x14ac:dyDescent="0.25">
      <c r="B15" t="s">
        <v>6</v>
      </c>
      <c r="G15" s="2">
        <v>500092</v>
      </c>
      <c r="I15" s="23">
        <v>0.32879000000000003</v>
      </c>
      <c r="K15" s="22">
        <f>ROUND(G15*I15,0)</f>
        <v>164425</v>
      </c>
      <c r="O15" s="9">
        <v>0.32418999999999998</v>
      </c>
      <c r="Q15" s="22">
        <f>ROUND(O15*G15,0)</f>
        <v>162125</v>
      </c>
      <c r="U15" s="22">
        <f>+K15-Q15</f>
        <v>2300</v>
      </c>
      <c r="V15" s="26">
        <f>+U15/K15</f>
        <v>1.3988140489584917E-2</v>
      </c>
    </row>
    <row r="16" spans="1:22" x14ac:dyDescent="0.25">
      <c r="B16" t="s">
        <v>7</v>
      </c>
      <c r="G16" s="2">
        <v>2554399</v>
      </c>
      <c r="I16" s="23">
        <v>0.25839000000000001</v>
      </c>
      <c r="K16" s="22">
        <f>ROUND(G16*I16,0)</f>
        <v>660031</v>
      </c>
      <c r="O16" s="9">
        <v>0.25477</v>
      </c>
      <c r="Q16" s="22">
        <f>ROUND(O16*G16,0)</f>
        <v>650784</v>
      </c>
      <c r="U16" s="22">
        <f>+K16-Q16</f>
        <v>9247</v>
      </c>
      <c r="V16" s="26">
        <f>+U16/K16</f>
        <v>1.4009948017593112E-2</v>
      </c>
    </row>
    <row r="17" spans="1:22" x14ac:dyDescent="0.25">
      <c r="G17" s="2"/>
      <c r="I17" s="21"/>
      <c r="K17" s="22"/>
      <c r="Q17" s="22"/>
      <c r="U17" s="22"/>
      <c r="V17" s="26"/>
    </row>
    <row r="18" spans="1:22" x14ac:dyDescent="0.25">
      <c r="A18" t="s">
        <v>33</v>
      </c>
      <c r="G18" s="2"/>
      <c r="I18" s="21"/>
      <c r="K18" s="22"/>
      <c r="Q18" s="22"/>
      <c r="U18" s="22"/>
      <c r="V18" s="26"/>
    </row>
    <row r="19" spans="1:22" x14ac:dyDescent="0.25">
      <c r="B19" t="s">
        <v>5</v>
      </c>
      <c r="G19" s="2">
        <v>114</v>
      </c>
      <c r="I19" s="21">
        <v>90</v>
      </c>
      <c r="K19" s="22">
        <f>ROUND(G19*I19,0)</f>
        <v>10260</v>
      </c>
      <c r="O19" s="20">
        <v>88.74</v>
      </c>
      <c r="Q19" s="22">
        <f>ROUND(O19*G19,0)</f>
        <v>10116</v>
      </c>
      <c r="U19" s="22">
        <f>+K19-Q19</f>
        <v>144</v>
      </c>
      <c r="V19" s="26">
        <f>+U19/K19</f>
        <v>1.4035087719298246E-2</v>
      </c>
    </row>
    <row r="20" spans="1:22" x14ac:dyDescent="0.25">
      <c r="B20" t="s">
        <v>36</v>
      </c>
      <c r="G20" s="2">
        <v>636187</v>
      </c>
      <c r="I20" s="23">
        <v>0.24462999999999999</v>
      </c>
      <c r="K20" s="22">
        <f>ROUND(G20*I20,0)</f>
        <v>155630</v>
      </c>
      <c r="O20" s="9">
        <v>0.24121000000000001</v>
      </c>
      <c r="Q20" s="22">
        <f>ROUND(O20*G20,0)</f>
        <v>153455</v>
      </c>
      <c r="U20" s="22">
        <f>+K20-Q20</f>
        <v>2175</v>
      </c>
      <c r="V20" s="26">
        <f>+U20/K20</f>
        <v>1.3975454603868148E-2</v>
      </c>
    </row>
    <row r="21" spans="1:22" x14ac:dyDescent="0.25">
      <c r="G21" s="2"/>
      <c r="I21" s="21"/>
      <c r="K21" s="22"/>
      <c r="Q21" s="22"/>
      <c r="U21" s="22"/>
      <c r="V21" s="26"/>
    </row>
    <row r="22" spans="1:22" x14ac:dyDescent="0.25">
      <c r="A22" t="s">
        <v>34</v>
      </c>
      <c r="G22" s="2"/>
      <c r="I22" s="21"/>
      <c r="K22" s="22"/>
      <c r="Q22" s="22"/>
      <c r="U22" s="22"/>
      <c r="V22" s="26"/>
    </row>
    <row r="23" spans="1:22" x14ac:dyDescent="0.25">
      <c r="B23" t="s">
        <v>5</v>
      </c>
      <c r="G23" s="2">
        <v>12</v>
      </c>
      <c r="I23" s="21">
        <v>900</v>
      </c>
      <c r="K23" s="22">
        <f>ROUND(G23*I23,0)</f>
        <v>10800</v>
      </c>
      <c r="O23" s="20">
        <v>887.4</v>
      </c>
      <c r="Q23" s="22">
        <f>ROUND(O23*G23,0)</f>
        <v>10649</v>
      </c>
      <c r="U23" s="22">
        <f>+K23-Q23</f>
        <v>151</v>
      </c>
      <c r="V23" s="26">
        <f>+U23/K23</f>
        <v>1.3981481481481482E-2</v>
      </c>
    </row>
    <row r="24" spans="1:22" x14ac:dyDescent="0.25">
      <c r="B24" t="s">
        <v>37</v>
      </c>
      <c r="G24" s="2">
        <v>435893</v>
      </c>
      <c r="I24" s="23">
        <v>0.19198999999999999</v>
      </c>
      <c r="K24" s="22">
        <f>ROUND(G24*I24,0)</f>
        <v>83687</v>
      </c>
      <c r="O24" s="9">
        <v>0.1893</v>
      </c>
      <c r="Q24" s="22">
        <f>ROUND(O24*G24,0)</f>
        <v>82515</v>
      </c>
      <c r="U24" s="22">
        <f>+K24-Q24</f>
        <v>1172</v>
      </c>
      <c r="V24" s="26">
        <f>+U24/K24</f>
        <v>1.4004564627719956E-2</v>
      </c>
    </row>
    <row r="25" spans="1:22" x14ac:dyDescent="0.25">
      <c r="B25" t="s">
        <v>38</v>
      </c>
      <c r="G25" s="2">
        <v>197352</v>
      </c>
      <c r="I25" s="23">
        <v>0.15698999999999999</v>
      </c>
      <c r="K25" s="22">
        <f>ROUND(G25*I25,0)</f>
        <v>30982</v>
      </c>
      <c r="O25" s="9">
        <v>0.15479000000000001</v>
      </c>
      <c r="Q25" s="22">
        <f>ROUND(O25*G25,0)</f>
        <v>30548</v>
      </c>
      <c r="U25" s="22">
        <f>+K25-Q25</f>
        <v>434</v>
      </c>
      <c r="V25" s="26">
        <f>+U25/K25</f>
        <v>1.4008133755083597E-2</v>
      </c>
    </row>
    <row r="26" spans="1:22" x14ac:dyDescent="0.25">
      <c r="G26" s="2"/>
      <c r="I26" s="21"/>
      <c r="K26" s="22"/>
      <c r="Q26" s="22"/>
      <c r="U26" s="22"/>
      <c r="V26" s="26"/>
    </row>
    <row r="27" spans="1:22" x14ac:dyDescent="0.25">
      <c r="G27" s="2"/>
      <c r="I27" s="21"/>
      <c r="K27" s="22"/>
      <c r="Q27" s="22"/>
      <c r="U27" s="22"/>
      <c r="V27" s="26"/>
    </row>
    <row r="28" spans="1:22" x14ac:dyDescent="0.25">
      <c r="A28" t="s">
        <v>35</v>
      </c>
      <c r="G28" s="2"/>
      <c r="I28" s="21"/>
      <c r="K28" s="22"/>
      <c r="Q28" s="22"/>
      <c r="U28" s="22"/>
      <c r="V28" s="26"/>
    </row>
    <row r="29" spans="1:22" x14ac:dyDescent="0.25">
      <c r="B29" t="s">
        <v>5</v>
      </c>
      <c r="G29" s="2">
        <v>12</v>
      </c>
      <c r="I29" s="21">
        <v>900</v>
      </c>
      <c r="K29" s="22">
        <f>ROUND(G29*I29,0)</f>
        <v>10800</v>
      </c>
      <c r="O29" s="20">
        <v>887.4</v>
      </c>
      <c r="Q29" s="22">
        <f>ROUND(O29*G29,0)</f>
        <v>10649</v>
      </c>
      <c r="U29" s="22">
        <f>+K29-Q29</f>
        <v>151</v>
      </c>
      <c r="V29" s="26">
        <f>+U29/K29</f>
        <v>1.3981481481481482E-2</v>
      </c>
    </row>
    <row r="30" spans="1:22" x14ac:dyDescent="0.25">
      <c r="B30" t="s">
        <v>39</v>
      </c>
      <c r="G30" s="2">
        <v>793014</v>
      </c>
      <c r="I30" s="23">
        <v>0.12947</v>
      </c>
      <c r="K30" s="22">
        <f>ROUND(G30*I30,0)</f>
        <v>102672</v>
      </c>
      <c r="O30" s="9">
        <v>0.12766</v>
      </c>
      <c r="Q30" s="22">
        <f>ROUND(O30*G30,0)</f>
        <v>101236</v>
      </c>
      <c r="U30" s="22">
        <f>+K30-Q30</f>
        <v>1436</v>
      </c>
      <c r="V30" s="26">
        <f>+U30/K30</f>
        <v>1.3986286426679134E-2</v>
      </c>
    </row>
    <row r="31" spans="1:22" x14ac:dyDescent="0.25">
      <c r="B31" t="s">
        <v>40</v>
      </c>
      <c r="G31" s="2">
        <v>0</v>
      </c>
      <c r="I31" s="23">
        <v>5.4850000000000003E-2</v>
      </c>
      <c r="K31" s="22">
        <f>ROUND(G31*I31,0)</f>
        <v>0</v>
      </c>
      <c r="O31" s="9">
        <v>5.4080000000000003E-2</v>
      </c>
      <c r="Q31" s="22">
        <f>ROUND(O31*G31,0)</f>
        <v>0</v>
      </c>
      <c r="U31" s="22">
        <f>+K31-Q31</f>
        <v>0</v>
      </c>
      <c r="V31" s="26">
        <v>0</v>
      </c>
    </row>
    <row r="33" spans="11:22" x14ac:dyDescent="0.25">
      <c r="K33" s="1">
        <f>SUM(K9:K31)</f>
        <v>4669250</v>
      </c>
      <c r="Q33" s="1">
        <f>SUM(Q9:Q31)</f>
        <v>4604049</v>
      </c>
      <c r="U33" s="1">
        <f>SUM(U9:U31)</f>
        <v>65201</v>
      </c>
      <c r="V33" s="26">
        <f>+U33/K33</f>
        <v>1.3963912833966911E-2</v>
      </c>
    </row>
    <row r="35" spans="11:22" x14ac:dyDescent="0.25">
      <c r="K35" s="22">
        <v>4674409</v>
      </c>
      <c r="Q35" s="22">
        <f>+Sheet2!H41</f>
        <v>4608124.46</v>
      </c>
    </row>
    <row r="36" spans="11:22" x14ac:dyDescent="0.25">
      <c r="K36" s="24">
        <f>+K35/K33</f>
        <v>1.0011048883653693</v>
      </c>
      <c r="Q36" s="24">
        <f>+Q35/Q33</f>
        <v>1.0008851904052281</v>
      </c>
    </row>
    <row r="39" spans="11:22" x14ac:dyDescent="0.25">
      <c r="K39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1"/>
  <sheetViews>
    <sheetView topLeftCell="B1" zoomScaleNormal="100" workbookViewId="0">
      <selection activeCell="B1" sqref="B1"/>
    </sheetView>
  </sheetViews>
  <sheetFormatPr defaultRowHeight="15" x14ac:dyDescent="0.25"/>
  <cols>
    <col min="1" max="1" width="4" style="10" bestFit="1" customWidth="1"/>
    <col min="3" max="3" width="5.7109375" customWidth="1"/>
    <col min="4" max="7" width="15.7109375" customWidth="1"/>
    <col min="8" max="8" width="14.7109375" bestFit="1" customWidth="1"/>
    <col min="9" max="9" width="2.7109375" customWidth="1"/>
    <col min="10" max="10" width="14.7109375" bestFit="1" customWidth="1"/>
    <col min="11" max="11" width="2.7109375" customWidth="1"/>
    <col min="12" max="12" width="11.5703125" bestFit="1" customWidth="1"/>
    <col min="13" max="13" width="2.7109375" customWidth="1"/>
    <col min="14" max="14" width="13.7109375" customWidth="1"/>
    <col min="15" max="15" width="2.7109375" customWidth="1"/>
    <col min="16" max="16" width="11.28515625" bestFit="1" customWidth="1"/>
    <col min="17" max="17" width="2.7109375" customWidth="1"/>
  </cols>
  <sheetData>
    <row r="1" spans="1:12" ht="15.75" x14ac:dyDescent="0.25">
      <c r="B1" s="19" t="s">
        <v>26</v>
      </c>
      <c r="C1" s="19"/>
    </row>
    <row r="2" spans="1:12" ht="15.75" x14ac:dyDescent="0.25">
      <c r="B2" s="19" t="s">
        <v>15</v>
      </c>
      <c r="C2" s="19"/>
    </row>
    <row r="4" spans="1:12" x14ac:dyDescent="0.25">
      <c r="B4" s="18" t="s">
        <v>13</v>
      </c>
      <c r="C4" s="18"/>
      <c r="D4" s="18"/>
      <c r="E4" s="18"/>
      <c r="J4" s="10" t="s">
        <v>24</v>
      </c>
      <c r="K4" s="10"/>
      <c r="L4" s="10" t="s">
        <v>25</v>
      </c>
    </row>
    <row r="5" spans="1:12" x14ac:dyDescent="0.25">
      <c r="H5" s="10" t="s">
        <v>8</v>
      </c>
      <c r="J5" s="10" t="s">
        <v>9</v>
      </c>
      <c r="L5" s="10" t="s">
        <v>9</v>
      </c>
    </row>
    <row r="6" spans="1:12" x14ac:dyDescent="0.25">
      <c r="A6" s="10">
        <v>1</v>
      </c>
      <c r="B6" t="s">
        <v>10</v>
      </c>
      <c r="J6" s="11">
        <v>1</v>
      </c>
      <c r="L6" s="11">
        <v>1</v>
      </c>
    </row>
    <row r="7" spans="1:12" x14ac:dyDescent="0.25">
      <c r="A7" s="10">
        <v>2</v>
      </c>
      <c r="B7" t="s">
        <v>27</v>
      </c>
      <c r="H7">
        <v>4.0990669317156761E-3</v>
      </c>
      <c r="J7" s="12">
        <f>ROUND(+J6*H7,10)</f>
        <v>4.0990669E-3</v>
      </c>
      <c r="L7" s="12">
        <f>ROUND(+L6*J7,10)</f>
        <v>4.0990669E-3</v>
      </c>
    </row>
    <row r="9" spans="1:12" x14ac:dyDescent="0.25">
      <c r="A9" s="10">
        <v>3</v>
      </c>
      <c r="B9" t="s">
        <v>10</v>
      </c>
      <c r="J9" s="2">
        <v>100</v>
      </c>
      <c r="L9" s="2">
        <v>100</v>
      </c>
    </row>
    <row r="10" spans="1:12" x14ac:dyDescent="0.25">
      <c r="A10" s="10">
        <v>4</v>
      </c>
      <c r="B10" t="s">
        <v>28</v>
      </c>
      <c r="H10">
        <v>1.296408E-3</v>
      </c>
      <c r="J10" s="12">
        <f>ROUND(J6*H10,10)</f>
        <v>1.296408E-3</v>
      </c>
      <c r="L10" s="12">
        <f>ROUND(L6*J10,10)</f>
        <v>1.296408E-3</v>
      </c>
    </row>
    <row r="12" spans="1:12" x14ac:dyDescent="0.25">
      <c r="A12" s="10">
        <v>5</v>
      </c>
      <c r="B12" t="s">
        <v>16</v>
      </c>
      <c r="J12" s="6">
        <f>+J6-J7-J10</f>
        <v>0.99460452510000008</v>
      </c>
      <c r="L12" s="6">
        <f>+L6-L7-L10</f>
        <v>0.99460452510000008</v>
      </c>
    </row>
    <row r="14" spans="1:12" x14ac:dyDescent="0.25">
      <c r="A14" s="10">
        <v>6</v>
      </c>
      <c r="B14" t="s">
        <v>29</v>
      </c>
      <c r="H14">
        <v>5.5E-2</v>
      </c>
      <c r="J14" s="12">
        <f>+J12*H14</f>
        <v>5.4703248880500002E-2</v>
      </c>
      <c r="L14" s="12">
        <f>+L12*J14</f>
        <v>5.4408098874216819E-2</v>
      </c>
    </row>
    <row r="17" spans="1:15" x14ac:dyDescent="0.25">
      <c r="A17" s="10">
        <v>7</v>
      </c>
      <c r="B17" t="s">
        <v>17</v>
      </c>
      <c r="J17" s="13">
        <f>+J12-J14</f>
        <v>0.93990127621950004</v>
      </c>
      <c r="L17" s="13">
        <f>+L12-L14</f>
        <v>0.94019642622578325</v>
      </c>
    </row>
    <row r="18" spans="1:15" x14ac:dyDescent="0.25">
      <c r="A18" s="10">
        <v>8</v>
      </c>
      <c r="B18" t="s">
        <v>11</v>
      </c>
      <c r="F18" t="s">
        <v>12</v>
      </c>
      <c r="H18">
        <v>0.21</v>
      </c>
      <c r="J18" s="12">
        <f>ROUND(J17*H18,10)</f>
        <v>0.197379268</v>
      </c>
      <c r="L18" s="12">
        <v>0</v>
      </c>
    </row>
    <row r="20" spans="1:15" x14ac:dyDescent="0.25">
      <c r="A20" s="10">
        <v>9</v>
      </c>
      <c r="B20" t="s">
        <v>18</v>
      </c>
      <c r="J20" s="12">
        <f>J17-J18</f>
        <v>0.7425220082195001</v>
      </c>
      <c r="L20" s="12">
        <f>L17-L18</f>
        <v>0.94019642622578325</v>
      </c>
    </row>
    <row r="22" spans="1:15" ht="15.75" thickBot="1" x14ac:dyDescent="0.3">
      <c r="A22" s="10">
        <v>10</v>
      </c>
      <c r="B22" t="s">
        <v>19</v>
      </c>
      <c r="J22" s="14">
        <f>ROUND(J6/J20,10)</f>
        <v>1.3467614279</v>
      </c>
      <c r="L22" s="14">
        <f>ROUND(L6/L20,10)</f>
        <v>1.0636075315</v>
      </c>
    </row>
    <row r="23" spans="1:15" ht="15.75" thickTop="1" x14ac:dyDescent="0.25">
      <c r="J23" s="15"/>
    </row>
    <row r="24" spans="1:15" x14ac:dyDescent="0.25">
      <c r="J24" s="15"/>
    </row>
    <row r="25" spans="1:15" x14ac:dyDescent="0.25">
      <c r="B25" s="18" t="s">
        <v>14</v>
      </c>
      <c r="J25" s="15"/>
    </row>
    <row r="27" spans="1:15" x14ac:dyDescent="0.25">
      <c r="A27" s="10">
        <v>11</v>
      </c>
      <c r="B27" t="s">
        <v>30</v>
      </c>
      <c r="J27" s="17">
        <v>4734610</v>
      </c>
    </row>
    <row r="28" spans="1:15" x14ac:dyDescent="0.25">
      <c r="J28" s="1"/>
    </row>
    <row r="29" spans="1:15" ht="15.75" thickBot="1" x14ac:dyDescent="0.3">
      <c r="A29" s="10">
        <v>12</v>
      </c>
      <c r="B29" t="s">
        <v>20</v>
      </c>
      <c r="J29" s="16">
        <f>-J27*0.014</f>
        <v>-66284.540000000008</v>
      </c>
    </row>
    <row r="30" spans="1:15" ht="15.75" thickTop="1" x14ac:dyDescent="0.25"/>
    <row r="31" spans="1:15" x14ac:dyDescent="0.25">
      <c r="I31" s="1"/>
      <c r="J31" s="1"/>
      <c r="K31" s="1"/>
      <c r="L31" s="1"/>
      <c r="M31" s="1"/>
      <c r="N31" s="1"/>
      <c r="O31" s="1"/>
    </row>
    <row r="33" spans="1:18" x14ac:dyDescent="0.25">
      <c r="B33" s="18" t="s">
        <v>22</v>
      </c>
      <c r="R33" s="3"/>
    </row>
    <row r="34" spans="1:18" x14ac:dyDescent="0.25">
      <c r="R34" s="3"/>
    </row>
    <row r="35" spans="1:18" x14ac:dyDescent="0.25">
      <c r="H35" t="s">
        <v>0</v>
      </c>
    </row>
    <row r="36" spans="1:18" x14ac:dyDescent="0.25">
      <c r="R36" s="3"/>
    </row>
    <row r="37" spans="1:18" x14ac:dyDescent="0.25">
      <c r="A37">
        <v>15</v>
      </c>
      <c r="B37" t="s">
        <v>30</v>
      </c>
      <c r="H37" s="1">
        <v>4674409</v>
      </c>
      <c r="R37" s="3"/>
    </row>
    <row r="38" spans="1:18" x14ac:dyDescent="0.25">
      <c r="A38"/>
      <c r="R38" s="3"/>
    </row>
    <row r="39" spans="1:18" x14ac:dyDescent="0.25">
      <c r="A39">
        <v>16</v>
      </c>
      <c r="B39" t="s">
        <v>21</v>
      </c>
      <c r="H39" s="1">
        <f>+J29</f>
        <v>-66284.540000000008</v>
      </c>
      <c r="R39" s="3"/>
    </row>
    <row r="40" spans="1:18" x14ac:dyDescent="0.25">
      <c r="A40"/>
      <c r="R40" s="3"/>
    </row>
    <row r="41" spans="1:18" x14ac:dyDescent="0.25">
      <c r="A41">
        <v>17</v>
      </c>
      <c r="B41" t="s">
        <v>41</v>
      </c>
      <c r="H41" s="1">
        <f>+H37+H39</f>
        <v>4608124.46</v>
      </c>
      <c r="R41" s="3"/>
    </row>
    <row r="42" spans="1:18" x14ac:dyDescent="0.25">
      <c r="A42"/>
      <c r="R42" s="3"/>
    </row>
    <row r="43" spans="1:18" x14ac:dyDescent="0.25">
      <c r="A43" s="4">
        <v>23</v>
      </c>
      <c r="B43" s="4" t="s">
        <v>23</v>
      </c>
      <c r="C43" s="4"/>
      <c r="E43" s="4"/>
      <c r="F43" s="4"/>
      <c r="G43" s="4"/>
      <c r="H43" s="5">
        <f>+H39/H41</f>
        <v>-1.4384277285774526E-2</v>
      </c>
      <c r="L43" s="6"/>
      <c r="R43" s="3"/>
    </row>
    <row r="44" spans="1:18" x14ac:dyDescent="0.25">
      <c r="A44"/>
      <c r="R44" s="3"/>
    </row>
    <row r="45" spans="1:18" x14ac:dyDescent="0.25">
      <c r="A45"/>
      <c r="R45" s="3"/>
    </row>
    <row r="46" spans="1:18" x14ac:dyDescent="0.25">
      <c r="A46"/>
      <c r="B46" t="s">
        <v>1</v>
      </c>
      <c r="R46" s="3"/>
    </row>
    <row r="47" spans="1:18" x14ac:dyDescent="0.25">
      <c r="A47"/>
      <c r="G47" s="7" t="s">
        <v>2</v>
      </c>
      <c r="H47" s="7" t="s">
        <v>3</v>
      </c>
      <c r="J47" s="7" t="s">
        <v>4</v>
      </c>
      <c r="R47" s="3"/>
    </row>
    <row r="48" spans="1:18" x14ac:dyDescent="0.25">
      <c r="A48"/>
      <c r="B48" t="s">
        <v>31</v>
      </c>
      <c r="R48" s="3"/>
    </row>
    <row r="49" spans="1:18" x14ac:dyDescent="0.25">
      <c r="A49"/>
      <c r="C49" t="s">
        <v>5</v>
      </c>
      <c r="G49" s="8">
        <v>13</v>
      </c>
      <c r="H49" s="6">
        <f>+H43</f>
        <v>-1.4384277285774526E-2</v>
      </c>
      <c r="J49" s="20">
        <f>ROUND(G49+(G49*H49),2)</f>
        <v>12.81</v>
      </c>
      <c r="L49" s="3"/>
      <c r="R49" s="3"/>
    </row>
    <row r="50" spans="1:18" x14ac:dyDescent="0.25">
      <c r="A50"/>
      <c r="C50" t="s">
        <v>6</v>
      </c>
      <c r="G50" s="6">
        <v>0.51092000000000004</v>
      </c>
      <c r="H50" s="6">
        <f>+H43</f>
        <v>-1.4384277285774526E-2</v>
      </c>
      <c r="J50" s="9">
        <f>ROUND(G50+(G50*H50),5)</f>
        <v>0.50356999999999996</v>
      </c>
      <c r="L50" s="3"/>
      <c r="R50" s="3"/>
    </row>
    <row r="51" spans="1:18" x14ac:dyDescent="0.25">
      <c r="A51"/>
      <c r="C51" t="s">
        <v>7</v>
      </c>
      <c r="G51" s="6">
        <v>0.34132000000000001</v>
      </c>
      <c r="H51" s="6">
        <f>+H43</f>
        <v>-1.4384277285774526E-2</v>
      </c>
      <c r="J51" s="9">
        <f>ROUND(G51+(G51*H51),5)</f>
        <v>0.33640999999999999</v>
      </c>
      <c r="L51" s="3"/>
      <c r="R51" s="3"/>
    </row>
    <row r="52" spans="1:18" x14ac:dyDescent="0.25">
      <c r="A52"/>
      <c r="H52" s="6"/>
      <c r="L52" s="3"/>
      <c r="R52" s="3"/>
    </row>
    <row r="53" spans="1:18" x14ac:dyDescent="0.25">
      <c r="A53"/>
      <c r="B53" t="s">
        <v>32</v>
      </c>
      <c r="G53" s="8"/>
      <c r="H53" s="6"/>
      <c r="J53" s="8"/>
      <c r="L53" s="3"/>
      <c r="R53" s="3"/>
    </row>
    <row r="54" spans="1:18" x14ac:dyDescent="0.25">
      <c r="A54"/>
      <c r="C54" t="s">
        <v>5</v>
      </c>
      <c r="G54" s="8">
        <v>30</v>
      </c>
      <c r="H54" s="6">
        <f>+H43</f>
        <v>-1.4384277285774526E-2</v>
      </c>
      <c r="J54" s="20">
        <f>ROUND(G54+(G54*H54),2)</f>
        <v>29.57</v>
      </c>
      <c r="L54" s="3"/>
      <c r="R54" s="3"/>
    </row>
    <row r="55" spans="1:18" x14ac:dyDescent="0.25">
      <c r="A55"/>
      <c r="C55" t="s">
        <v>6</v>
      </c>
      <c r="G55" s="6">
        <v>0.32879000000000003</v>
      </c>
      <c r="H55" s="6">
        <f>+H43</f>
        <v>-1.4384277285774526E-2</v>
      </c>
      <c r="J55" s="9">
        <f>ROUND(G55+(G55*H55),5)</f>
        <v>0.32406000000000001</v>
      </c>
      <c r="L55" s="3"/>
      <c r="R55" s="3"/>
    </row>
    <row r="56" spans="1:18" x14ac:dyDescent="0.25">
      <c r="A56"/>
      <c r="C56" t="s">
        <v>7</v>
      </c>
      <c r="G56" s="6">
        <v>0.25839000000000001</v>
      </c>
      <c r="H56" s="6">
        <f>+H43</f>
        <v>-1.4384277285774526E-2</v>
      </c>
      <c r="J56" s="9">
        <f>ROUND(G56+(G56*H56),5)</f>
        <v>0.25467000000000001</v>
      </c>
      <c r="L56" s="3"/>
      <c r="R56" s="3"/>
    </row>
    <row r="57" spans="1:18" x14ac:dyDescent="0.25">
      <c r="A57"/>
      <c r="H57" s="6"/>
      <c r="L57" s="3"/>
      <c r="R57" s="3"/>
    </row>
    <row r="58" spans="1:18" x14ac:dyDescent="0.25">
      <c r="A58"/>
      <c r="B58" t="s">
        <v>33</v>
      </c>
      <c r="H58" s="6"/>
      <c r="L58" s="3"/>
      <c r="R58" s="3"/>
    </row>
    <row r="59" spans="1:18" x14ac:dyDescent="0.25">
      <c r="A59"/>
      <c r="C59" t="s">
        <v>5</v>
      </c>
      <c r="G59" s="8">
        <v>90</v>
      </c>
      <c r="H59" s="6">
        <f>+H43</f>
        <v>-1.4384277285774526E-2</v>
      </c>
      <c r="J59" s="20">
        <f>ROUND(G59+(G59*H59),2)</f>
        <v>88.71</v>
      </c>
      <c r="L59" s="3"/>
      <c r="R59" s="3"/>
    </row>
    <row r="60" spans="1:18" x14ac:dyDescent="0.25">
      <c r="A60"/>
      <c r="C60" t="s">
        <v>36</v>
      </c>
      <c r="G60" s="6">
        <v>0.24462999999999999</v>
      </c>
      <c r="H60" s="6">
        <f>+H43</f>
        <v>-1.4384277285774526E-2</v>
      </c>
      <c r="J60" s="9">
        <f>ROUND(G60+(G60*H60),5)</f>
        <v>0.24110999999999999</v>
      </c>
      <c r="L60" s="3"/>
      <c r="R60" s="3"/>
    </row>
    <row r="61" spans="1:18" x14ac:dyDescent="0.25">
      <c r="A61"/>
      <c r="H61" s="6"/>
      <c r="L61" s="3"/>
      <c r="R61" s="3"/>
    </row>
    <row r="62" spans="1:18" x14ac:dyDescent="0.25">
      <c r="A62"/>
      <c r="B62" t="s">
        <v>34</v>
      </c>
      <c r="H62" s="6"/>
      <c r="L62" s="3"/>
      <c r="R62" s="3"/>
    </row>
    <row r="63" spans="1:18" x14ac:dyDescent="0.25">
      <c r="A63"/>
      <c r="C63" t="s">
        <v>5</v>
      </c>
      <c r="G63" s="8">
        <v>900</v>
      </c>
      <c r="H63" s="6">
        <f>+H43</f>
        <v>-1.4384277285774526E-2</v>
      </c>
      <c r="J63" s="20">
        <f>ROUND(G63+(G63*H63),2)</f>
        <v>887.05</v>
      </c>
      <c r="L63" s="3"/>
      <c r="R63" s="3"/>
    </row>
    <row r="64" spans="1:18" x14ac:dyDescent="0.25">
      <c r="A64"/>
      <c r="C64" t="s">
        <v>37</v>
      </c>
      <c r="G64" s="6">
        <v>0.19198999999999999</v>
      </c>
      <c r="H64" s="6">
        <f>+H43</f>
        <v>-1.4384277285774526E-2</v>
      </c>
      <c r="J64" s="9">
        <f>ROUND(G64+(G64*H64),5)</f>
        <v>0.18923000000000001</v>
      </c>
      <c r="L64" s="3"/>
      <c r="R64" s="3"/>
    </row>
    <row r="65" spans="1:18" x14ac:dyDescent="0.25">
      <c r="A65"/>
      <c r="C65" t="s">
        <v>38</v>
      </c>
      <c r="G65" s="6">
        <v>0.15698999999999999</v>
      </c>
      <c r="H65" s="6">
        <f>+H43</f>
        <v>-1.4384277285774526E-2</v>
      </c>
      <c r="J65" s="9">
        <f>ROUND(G65+(G65*H65),5)</f>
        <v>0.15473000000000001</v>
      </c>
      <c r="L65" s="3"/>
      <c r="R65" s="3"/>
    </row>
    <row r="66" spans="1:18" x14ac:dyDescent="0.25">
      <c r="H66" s="6"/>
      <c r="R66" s="3"/>
    </row>
    <row r="67" spans="1:18" x14ac:dyDescent="0.25">
      <c r="H67" s="6"/>
      <c r="R67" s="3"/>
    </row>
    <row r="68" spans="1:18" x14ac:dyDescent="0.25">
      <c r="B68" t="s">
        <v>35</v>
      </c>
      <c r="H68" s="6"/>
      <c r="R68" s="3"/>
    </row>
    <row r="69" spans="1:18" x14ac:dyDescent="0.25">
      <c r="C69" t="s">
        <v>5</v>
      </c>
      <c r="G69" s="8">
        <v>900</v>
      </c>
      <c r="H69" s="6">
        <f>+H43</f>
        <v>-1.4384277285774526E-2</v>
      </c>
      <c r="J69" s="20">
        <f>ROUND(G69+(G69*H69),2)</f>
        <v>887.05</v>
      </c>
      <c r="R69" s="3"/>
    </row>
    <row r="70" spans="1:18" x14ac:dyDescent="0.25">
      <c r="C70" t="s">
        <v>39</v>
      </c>
      <c r="G70">
        <v>0.12947</v>
      </c>
      <c r="H70" s="6">
        <f>+H43</f>
        <v>-1.4384277285774526E-2</v>
      </c>
      <c r="J70" s="9">
        <f>ROUND(G70+(G70*H70),5)</f>
        <v>0.12761</v>
      </c>
    </row>
    <row r="71" spans="1:18" x14ac:dyDescent="0.25">
      <c r="C71" t="s">
        <v>40</v>
      </c>
      <c r="G71">
        <v>5.4850000000000003E-2</v>
      </c>
      <c r="H71" s="6">
        <f>+H43</f>
        <v>-1.4384277285774526E-2</v>
      </c>
      <c r="J71" s="9">
        <f>ROUND(G71+(G71*H71),5)</f>
        <v>5.4059999999999997E-2</v>
      </c>
    </row>
  </sheetData>
  <pageMargins left="0.7" right="0.7" top="0.75" bottom="0.75" header="0.3" footer="0.3"/>
  <pageSetup scale="79" orientation="portrait" r:id="rId1"/>
  <rowBreaks count="1" manualBreakCount="1">
    <brk id="2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V39"/>
  <sheetViews>
    <sheetView workbookViewId="0"/>
  </sheetViews>
  <sheetFormatPr defaultRowHeight="15" x14ac:dyDescent="0.25"/>
  <cols>
    <col min="7" max="7" width="10.5703125" bestFit="1" customWidth="1"/>
    <col min="8" max="8" width="2.7109375" customWidth="1"/>
    <col min="9" max="9" width="11" bestFit="1" customWidth="1"/>
    <col min="10" max="10" width="2.7109375" customWidth="1"/>
    <col min="11" max="11" width="15.28515625" bestFit="1" customWidth="1"/>
    <col min="12" max="14" width="2.7109375" customWidth="1"/>
    <col min="15" max="15" width="10" bestFit="1" customWidth="1"/>
    <col min="16" max="16" width="2.7109375" customWidth="1"/>
    <col min="17" max="17" width="12" bestFit="1" customWidth="1"/>
    <col min="18" max="20" width="2.7109375" customWidth="1"/>
    <col min="21" max="21" width="9.28515625" customWidth="1"/>
  </cols>
  <sheetData>
    <row r="5" spans="1:22" x14ac:dyDescent="0.25">
      <c r="G5" t="s">
        <v>42</v>
      </c>
      <c r="I5" t="s">
        <v>44</v>
      </c>
      <c r="K5" t="s">
        <v>45</v>
      </c>
      <c r="O5" t="s">
        <v>47</v>
      </c>
      <c r="Q5" t="s">
        <v>45</v>
      </c>
      <c r="U5" t="s">
        <v>49</v>
      </c>
    </row>
    <row r="6" spans="1:22" x14ac:dyDescent="0.25">
      <c r="A6" t="s">
        <v>1</v>
      </c>
      <c r="G6" t="s">
        <v>43</v>
      </c>
      <c r="I6" t="s">
        <v>1</v>
      </c>
      <c r="K6" t="s">
        <v>46</v>
      </c>
      <c r="O6" t="s">
        <v>1</v>
      </c>
      <c r="Q6" t="s">
        <v>48</v>
      </c>
      <c r="U6" t="s">
        <v>50</v>
      </c>
      <c r="V6" t="s">
        <v>51</v>
      </c>
    </row>
    <row r="8" spans="1:22" x14ac:dyDescent="0.25">
      <c r="A8" t="s">
        <v>31</v>
      </c>
    </row>
    <row r="9" spans="1:22" x14ac:dyDescent="0.25">
      <c r="B9" t="s">
        <v>5</v>
      </c>
      <c r="G9" s="2">
        <v>80001</v>
      </c>
      <c r="I9" s="21">
        <v>13</v>
      </c>
      <c r="K9" s="22">
        <f>ROUND(G9*I9,0)</f>
        <v>1040013</v>
      </c>
      <c r="O9" s="21">
        <v>12.81</v>
      </c>
      <c r="Q9" s="22">
        <f>ROUND(O9*G9,0)</f>
        <v>1024813</v>
      </c>
      <c r="U9" s="22">
        <f>+K9-Q9</f>
        <v>15200</v>
      </c>
      <c r="V9" s="26">
        <f>+U9/K9</f>
        <v>1.4615201925360548E-2</v>
      </c>
    </row>
    <row r="10" spans="1:22" x14ac:dyDescent="0.25">
      <c r="B10" t="s">
        <v>6</v>
      </c>
      <c r="G10" s="2">
        <v>3450426</v>
      </c>
      <c r="I10" s="23">
        <v>0.51092000000000004</v>
      </c>
      <c r="K10" s="22">
        <f>ROUND(G10*I10,0)</f>
        <v>1762892</v>
      </c>
      <c r="O10" s="23">
        <v>0.50356999999999996</v>
      </c>
      <c r="Q10" s="22">
        <f>ROUND(O10*G10,0)</f>
        <v>1737531</v>
      </c>
      <c r="U10" s="22">
        <f>+K10-Q10</f>
        <v>25361</v>
      </c>
      <c r="V10" s="26">
        <f>+U10/K10</f>
        <v>1.4386020244008141E-2</v>
      </c>
    </row>
    <row r="11" spans="1:22" x14ac:dyDescent="0.25">
      <c r="B11" t="s">
        <v>7</v>
      </c>
      <c r="G11" s="2">
        <v>1013443</v>
      </c>
      <c r="I11" s="23">
        <v>0.34132000000000001</v>
      </c>
      <c r="K11" s="22">
        <f>ROUND(G11*I11,0)</f>
        <v>345908</v>
      </c>
      <c r="O11" s="23">
        <v>0.33640999999999999</v>
      </c>
      <c r="Q11" s="22">
        <f>ROUND(O11*G11,0)</f>
        <v>340932</v>
      </c>
      <c r="U11" s="22">
        <f>+K11-Q11</f>
        <v>4976</v>
      </c>
      <c r="V11" s="26">
        <f>+U11/K11</f>
        <v>1.4385327890653006E-2</v>
      </c>
    </row>
    <row r="12" spans="1:22" x14ac:dyDescent="0.25">
      <c r="G12" s="2"/>
      <c r="I12" s="21"/>
      <c r="K12" s="22"/>
      <c r="O12" s="21"/>
      <c r="Q12" s="22"/>
      <c r="U12" s="22"/>
      <c r="V12" s="26"/>
    </row>
    <row r="13" spans="1:22" x14ac:dyDescent="0.25">
      <c r="A13" t="s">
        <v>32</v>
      </c>
      <c r="G13" s="2"/>
      <c r="I13" s="21"/>
      <c r="K13" s="22"/>
      <c r="O13" s="21"/>
      <c r="Q13" s="22"/>
      <c r="U13" s="22"/>
      <c r="V13" s="26"/>
    </row>
    <row r="14" spans="1:22" x14ac:dyDescent="0.25">
      <c r="B14" t="s">
        <v>5</v>
      </c>
      <c r="G14" s="2">
        <v>9705</v>
      </c>
      <c r="I14" s="21">
        <v>30</v>
      </c>
      <c r="K14" s="22">
        <f>ROUND(G14*I14,0)</f>
        <v>291150</v>
      </c>
      <c r="O14" s="21">
        <v>29.57</v>
      </c>
      <c r="Q14" s="22">
        <f>ROUND(O14*G14,0)</f>
        <v>286977</v>
      </c>
      <c r="U14" s="22">
        <f>+K14-Q14</f>
        <v>4173</v>
      </c>
      <c r="V14" s="26">
        <f>+U14/K14</f>
        <v>1.4332818134981967E-2</v>
      </c>
    </row>
    <row r="15" spans="1:22" x14ac:dyDescent="0.25">
      <c r="B15" t="s">
        <v>6</v>
      </c>
      <c r="G15" s="2">
        <v>500092</v>
      </c>
      <c r="I15" s="23">
        <v>0.32879000000000003</v>
      </c>
      <c r="K15" s="22">
        <f>ROUND(G15*I15,0)</f>
        <v>164425</v>
      </c>
      <c r="O15" s="23">
        <v>0.32406000000000001</v>
      </c>
      <c r="Q15" s="22">
        <f>ROUND(O15*G15,0)</f>
        <v>162060</v>
      </c>
      <c r="U15" s="22">
        <f>+K15-Q15</f>
        <v>2365</v>
      </c>
      <c r="V15" s="26">
        <f>+U15/K15</f>
        <v>1.4383457503421012E-2</v>
      </c>
    </row>
    <row r="16" spans="1:22" x14ac:dyDescent="0.25">
      <c r="B16" t="s">
        <v>7</v>
      </c>
      <c r="G16" s="2">
        <v>2554399</v>
      </c>
      <c r="I16" s="23">
        <v>0.25839000000000001</v>
      </c>
      <c r="K16" s="22">
        <f>ROUND(G16*I16,0)</f>
        <v>660031</v>
      </c>
      <c r="O16" s="23">
        <v>0.25467000000000001</v>
      </c>
      <c r="Q16" s="22">
        <f>ROUND(O16*G16,0)</f>
        <v>650529</v>
      </c>
      <c r="U16" s="22">
        <f>+K16-Q16</f>
        <v>9502</v>
      </c>
      <c r="V16" s="26">
        <f>+U16/K16</f>
        <v>1.4396293507426166E-2</v>
      </c>
    </row>
    <row r="17" spans="1:22" x14ac:dyDescent="0.25">
      <c r="G17" s="2"/>
      <c r="I17" s="21"/>
      <c r="K17" s="22"/>
      <c r="O17" s="21"/>
      <c r="Q17" s="22"/>
      <c r="U17" s="22"/>
      <c r="V17" s="26"/>
    </row>
    <row r="18" spans="1:22" x14ac:dyDescent="0.25">
      <c r="A18" t="s">
        <v>33</v>
      </c>
      <c r="G18" s="2"/>
      <c r="I18" s="21"/>
      <c r="K18" s="22"/>
      <c r="O18" s="21"/>
      <c r="Q18" s="22"/>
      <c r="U18" s="22"/>
      <c r="V18" s="26"/>
    </row>
    <row r="19" spans="1:22" x14ac:dyDescent="0.25">
      <c r="B19" t="s">
        <v>5</v>
      </c>
      <c r="G19" s="2">
        <v>114</v>
      </c>
      <c r="I19" s="21">
        <v>90</v>
      </c>
      <c r="K19" s="22">
        <f>ROUND(G19*I19,0)</f>
        <v>10260</v>
      </c>
      <c r="O19" s="21">
        <v>88.71</v>
      </c>
      <c r="Q19" s="22">
        <f>ROUND(O19*G19,0)</f>
        <v>10113</v>
      </c>
      <c r="U19" s="22">
        <f>+K19-Q19</f>
        <v>147</v>
      </c>
      <c r="V19" s="26">
        <f>+U19/K19</f>
        <v>1.432748538011696E-2</v>
      </c>
    </row>
    <row r="20" spans="1:22" x14ac:dyDescent="0.25">
      <c r="B20" t="s">
        <v>36</v>
      </c>
      <c r="G20" s="2">
        <v>636187</v>
      </c>
      <c r="I20" s="23">
        <v>0.24462999999999999</v>
      </c>
      <c r="K20" s="22">
        <f>ROUND(G20*I20,0)</f>
        <v>155630</v>
      </c>
      <c r="O20" s="23">
        <v>0.24110999999999999</v>
      </c>
      <c r="Q20" s="22">
        <f>ROUND(O20*G20,0)</f>
        <v>153391</v>
      </c>
      <c r="U20" s="22">
        <f>+K20-Q20</f>
        <v>2239</v>
      </c>
      <c r="V20" s="26">
        <f>+U20/K20</f>
        <v>1.4386686371522199E-2</v>
      </c>
    </row>
    <row r="21" spans="1:22" x14ac:dyDescent="0.25">
      <c r="G21" s="2"/>
      <c r="I21" s="21"/>
      <c r="K21" s="22"/>
      <c r="O21" s="21"/>
      <c r="Q21" s="22"/>
      <c r="U21" s="22"/>
      <c r="V21" s="26"/>
    </row>
    <row r="22" spans="1:22" x14ac:dyDescent="0.25">
      <c r="A22" t="s">
        <v>34</v>
      </c>
      <c r="G22" s="2"/>
      <c r="I22" s="21"/>
      <c r="K22" s="22"/>
      <c r="O22" s="21"/>
      <c r="Q22" s="22"/>
      <c r="U22" s="22"/>
      <c r="V22" s="26"/>
    </row>
    <row r="23" spans="1:22" x14ac:dyDescent="0.25">
      <c r="B23" t="s">
        <v>5</v>
      </c>
      <c r="G23" s="2">
        <v>12</v>
      </c>
      <c r="I23" s="21">
        <v>900</v>
      </c>
      <c r="K23" s="22">
        <f>ROUND(G23*I23,0)</f>
        <v>10800</v>
      </c>
      <c r="O23" s="21">
        <v>887.05</v>
      </c>
      <c r="Q23" s="22">
        <f>ROUND(O23*G23,0)</f>
        <v>10645</v>
      </c>
      <c r="U23" s="22">
        <f>+K23-Q23</f>
        <v>155</v>
      </c>
      <c r="V23" s="26">
        <f>+U23/K23</f>
        <v>1.4351851851851852E-2</v>
      </c>
    </row>
    <row r="24" spans="1:22" x14ac:dyDescent="0.25">
      <c r="B24" t="s">
        <v>37</v>
      </c>
      <c r="G24" s="2">
        <v>435893</v>
      </c>
      <c r="I24" s="23">
        <v>0.19198999999999999</v>
      </c>
      <c r="K24" s="22">
        <f>ROUND(G24*I24,0)</f>
        <v>83687</v>
      </c>
      <c r="O24" s="23">
        <v>0.18923000000000001</v>
      </c>
      <c r="Q24" s="22">
        <f>ROUND(O24*G24,0)</f>
        <v>82484</v>
      </c>
      <c r="U24" s="22">
        <f>+K24-Q24</f>
        <v>1203</v>
      </c>
      <c r="V24" s="26">
        <f>+U24/K24</f>
        <v>1.4374992531695484E-2</v>
      </c>
    </row>
    <row r="25" spans="1:22" x14ac:dyDescent="0.25">
      <c r="B25" t="s">
        <v>38</v>
      </c>
      <c r="G25" s="2">
        <v>197352</v>
      </c>
      <c r="I25" s="23">
        <v>0.15698999999999999</v>
      </c>
      <c r="K25" s="22">
        <f>ROUND(G25*I25,0)</f>
        <v>30982</v>
      </c>
      <c r="O25" s="23">
        <v>0.15473000000000001</v>
      </c>
      <c r="Q25" s="22">
        <f>ROUND(O25*G25,0)</f>
        <v>30536</v>
      </c>
      <c r="U25" s="22">
        <f>+K25-Q25</f>
        <v>446</v>
      </c>
      <c r="V25" s="26">
        <f>+U25/K25</f>
        <v>1.439545542573107E-2</v>
      </c>
    </row>
    <row r="26" spans="1:22" x14ac:dyDescent="0.25">
      <c r="G26" s="2"/>
      <c r="I26" s="21"/>
      <c r="K26" s="22"/>
      <c r="O26" s="21"/>
      <c r="Q26" s="22"/>
      <c r="U26" s="22"/>
      <c r="V26" s="26"/>
    </row>
    <row r="27" spans="1:22" x14ac:dyDescent="0.25">
      <c r="G27" s="2"/>
      <c r="I27" s="21"/>
      <c r="K27" s="22"/>
      <c r="O27" s="21"/>
      <c r="Q27" s="22"/>
      <c r="U27" s="22"/>
      <c r="V27" s="26"/>
    </row>
    <row r="28" spans="1:22" x14ac:dyDescent="0.25">
      <c r="A28" t="s">
        <v>35</v>
      </c>
      <c r="G28" s="2"/>
      <c r="I28" s="21"/>
      <c r="K28" s="22"/>
      <c r="O28" s="21"/>
      <c r="Q28" s="22"/>
      <c r="U28" s="22"/>
      <c r="V28" s="26"/>
    </row>
    <row r="29" spans="1:22" x14ac:dyDescent="0.25">
      <c r="B29" t="s">
        <v>5</v>
      </c>
      <c r="G29" s="2">
        <v>12</v>
      </c>
      <c r="I29" s="21">
        <v>900</v>
      </c>
      <c r="K29" s="22">
        <f>ROUND(G29*I29,0)</f>
        <v>10800</v>
      </c>
      <c r="O29" s="21">
        <v>887.05</v>
      </c>
      <c r="Q29" s="22">
        <f>ROUND(O29*G29,0)</f>
        <v>10645</v>
      </c>
      <c r="U29" s="22">
        <f>+K29-Q29</f>
        <v>155</v>
      </c>
      <c r="V29" s="26">
        <f>+U29/K29</f>
        <v>1.4351851851851852E-2</v>
      </c>
    </row>
    <row r="30" spans="1:22" x14ac:dyDescent="0.25">
      <c r="B30" t="s">
        <v>39</v>
      </c>
      <c r="G30" s="2">
        <v>793014</v>
      </c>
      <c r="I30" s="23">
        <v>0.12947</v>
      </c>
      <c r="K30" s="22">
        <f>ROUND(G30*I30,0)</f>
        <v>102672</v>
      </c>
      <c r="O30" s="23">
        <v>0.12761</v>
      </c>
      <c r="Q30" s="22">
        <f>ROUND(O30*G30,0)</f>
        <v>101197</v>
      </c>
      <c r="U30" s="22">
        <f>+K30-Q30</f>
        <v>1475</v>
      </c>
      <c r="V30" s="26">
        <f>+U30/K30</f>
        <v>1.4366136824061088E-2</v>
      </c>
    </row>
    <row r="31" spans="1:22" x14ac:dyDescent="0.25">
      <c r="B31" t="s">
        <v>40</v>
      </c>
      <c r="G31" s="2">
        <v>0</v>
      </c>
      <c r="I31" s="23">
        <v>5.4850000000000003E-2</v>
      </c>
      <c r="K31" s="22">
        <f>ROUND(G31*I31,0)</f>
        <v>0</v>
      </c>
      <c r="O31" s="23">
        <v>5.4059999999999997E-2</v>
      </c>
      <c r="Q31" s="22">
        <f>ROUND(O31*G31,0)</f>
        <v>0</v>
      </c>
      <c r="U31" s="22">
        <f>+K31-Q31</f>
        <v>0</v>
      </c>
      <c r="V31" s="26">
        <v>0</v>
      </c>
    </row>
    <row r="33" spans="11:22" x14ac:dyDescent="0.25">
      <c r="K33" s="1">
        <f>SUM(K9:K31)</f>
        <v>4669250</v>
      </c>
      <c r="Q33" s="1">
        <f>SUM(Q9:Q31)</f>
        <v>4601853</v>
      </c>
      <c r="U33" s="1">
        <f>SUM(U9:U31)</f>
        <v>67397</v>
      </c>
      <c r="V33" s="26">
        <f>+U33/K33</f>
        <v>1.4434223911763132E-2</v>
      </c>
    </row>
    <row r="35" spans="11:22" x14ac:dyDescent="0.25">
      <c r="K35" s="22">
        <v>4674409</v>
      </c>
      <c r="Q35" s="22">
        <f>+Sheet2!H41</f>
        <v>4608124.46</v>
      </c>
    </row>
    <row r="36" spans="11:22" x14ac:dyDescent="0.25">
      <c r="K36" s="24">
        <f>+K35/K33</f>
        <v>1.0011048883653693</v>
      </c>
      <c r="Q36" s="24">
        <f>+Q35/Q33</f>
        <v>1.0013628118933828</v>
      </c>
    </row>
    <row r="39" spans="11:22" x14ac:dyDescent="0.25">
      <c r="K39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C84A54B76B547807A18B4B888966C" ma:contentTypeVersion="13" ma:contentTypeDescription="Create a new document." ma:contentTypeScope="" ma:versionID="fdc53a5bdc80d4224b577966a23705d6">
  <xsd:schema xmlns:xsd="http://www.w3.org/2001/XMLSchema" xmlns:xs="http://www.w3.org/2001/XMLSchema" xmlns:p="http://schemas.microsoft.com/office/2006/metadata/properties" xmlns:ns2="621b3311-adc9-44a7-af0e-36067350c19c" xmlns:ns3="81a6d1e5-eb02-4ed8-b691-809656a13dd3" targetNamespace="http://schemas.microsoft.com/office/2006/metadata/properties" ma:root="true" ma:fieldsID="d8ba53771508e0464390b4cac03e440f" ns2:_="" ns3:_="">
    <xsd:import namespace="621b3311-adc9-44a7-af0e-36067350c19c"/>
    <xsd:import namespace="81a6d1e5-eb02-4ed8-b691-809656a13dd3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6d1e5-eb02-4ed8-b691-809656a13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B12A4-172F-49D7-AF1F-DA2EE772195B}">
  <ds:schemaRefs>
    <ds:schemaRef ds:uri="http://schemas.microsoft.com/office/2006/documentManagement/types"/>
    <ds:schemaRef ds:uri="http://schemas.microsoft.com/office/infopath/2007/PartnerControls"/>
    <ds:schemaRef ds:uri="7558938a-8a22-4524-afb0-58b165029303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99180bc4-2f7d-45e7-9e22-353907fb92c6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8FC1FB-0F07-49A3-BAFC-0C6475F8B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10FDA-8DC3-45C1-82DB-CBAE9114E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Sheet3</vt:lpstr>
      <vt:lpstr>Sheet4</vt:lpstr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Mann</dc:creator>
  <cp:lastModifiedBy>Peerman, Kassi</cp:lastModifiedBy>
  <cp:lastPrinted>2022-03-29T20:00:04Z</cp:lastPrinted>
  <dcterms:created xsi:type="dcterms:W3CDTF">2022-03-29T18:12:22Z</dcterms:created>
  <dcterms:modified xsi:type="dcterms:W3CDTF">2022-04-28T17:24:00Z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0x010100617C84A54B76B547807A18B4B888966C</vt:lpwstr>
  </property>
</Properties>
</file>