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Hunter\Desktop\Upload\"/>
    </mc:Choice>
  </mc:AlternateContent>
  <bookViews>
    <workbookView xWindow="0" yWindow="0" windowWidth="15090" windowHeight="7260"/>
  </bookViews>
  <sheets>
    <sheet name="Sheet2" sheetId="11" r:id="rId1"/>
    <sheet name="Incremental LRAM - stacked bar" sheetId="10" r:id="rId2"/>
    <sheet name="Sheet1" sheetId="9" r:id="rId3"/>
    <sheet name="Lifetime LRAM - stacked bar" sheetId="3" r:id="rId4"/>
    <sheet name="9 yr LRAM - stacked bar" sheetId="7" r:id="rId5"/>
    <sheet name="4 yr LRAM - stacked bar" sheetId="8" r:id="rId6"/>
    <sheet name="Lifetime LRAM - pie chart" sheetId="4" r:id="rId7"/>
    <sheet name="9 yr LRAM - pie chart" sheetId="5" r:id="rId8"/>
    <sheet name="4 yr LRAM - pie chart" sheetId="6" r:id="rId9"/>
    <sheet name="Program data" sheetId="2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2" l="1"/>
  <c r="E50" i="2" s="1"/>
  <c r="D47" i="2"/>
  <c r="D50" i="2" s="1"/>
  <c r="F48" i="2"/>
  <c r="F47" i="2" l="1"/>
  <c r="F50" i="2" s="1"/>
  <c r="F40" i="2"/>
  <c r="F39" i="2"/>
  <c r="E38" i="2"/>
  <c r="D38" i="2"/>
  <c r="F41" i="2"/>
  <c r="R29" i="2"/>
  <c r="R30" i="2"/>
  <c r="R31" i="2"/>
  <c r="R32" i="2"/>
  <c r="R20" i="2"/>
  <c r="R21" i="2"/>
  <c r="R22" i="2"/>
  <c r="R23" i="2"/>
  <c r="R24" i="2"/>
  <c r="R25" i="2"/>
  <c r="R26" i="2"/>
  <c r="O16" i="2"/>
  <c r="R16" i="2" s="1"/>
  <c r="P16" i="2"/>
  <c r="Q16" i="2"/>
  <c r="I20" i="2"/>
  <c r="I27" i="2" s="1"/>
  <c r="I21" i="2"/>
  <c r="I22" i="2"/>
  <c r="I23" i="2"/>
  <c r="I24" i="2"/>
  <c r="I25" i="2"/>
  <c r="I29" i="2"/>
  <c r="I30" i="2"/>
  <c r="F17" i="2"/>
  <c r="G14" i="2"/>
  <c r="G17" i="2" s="1"/>
  <c r="H17" i="2"/>
  <c r="Q27" i="2"/>
  <c r="Q34" i="2"/>
  <c r="P27" i="2"/>
  <c r="P34" i="2" s="1"/>
  <c r="O27" i="2"/>
  <c r="O34" i="2"/>
  <c r="N27" i="2"/>
  <c r="N34" i="2" s="1"/>
  <c r="N16" i="2"/>
  <c r="M27" i="2"/>
  <c r="M34" i="2" s="1"/>
  <c r="M16" i="2"/>
  <c r="L27" i="2"/>
  <c r="L16" i="2"/>
  <c r="L34" i="2" s="1"/>
  <c r="R15" i="2"/>
  <c r="R14" i="2"/>
  <c r="R13" i="2"/>
  <c r="R12" i="2"/>
  <c r="R11" i="2"/>
  <c r="R10" i="2"/>
  <c r="R9" i="2"/>
  <c r="R8" i="2"/>
  <c r="R7" i="2"/>
  <c r="R6" i="2"/>
  <c r="R5" i="2"/>
  <c r="H27" i="2"/>
  <c r="H32" i="2" s="1"/>
  <c r="G27" i="2"/>
  <c r="F27" i="2"/>
  <c r="F32" i="2" s="1"/>
  <c r="E27" i="2"/>
  <c r="E17" i="2"/>
  <c r="E32" i="2" s="1"/>
  <c r="D27" i="2"/>
  <c r="D17" i="2"/>
  <c r="D32" i="2"/>
  <c r="C27" i="2"/>
  <c r="C32" i="2" s="1"/>
  <c r="C17" i="2"/>
  <c r="I16" i="2"/>
  <c r="I15" i="2"/>
  <c r="I14" i="2"/>
  <c r="I13" i="2"/>
  <c r="I12" i="2"/>
  <c r="I11" i="2"/>
  <c r="I10" i="2"/>
  <c r="I9" i="2"/>
  <c r="I8" i="2"/>
  <c r="I7" i="2"/>
  <c r="I6" i="2"/>
  <c r="I5" i="2"/>
  <c r="R27" i="2"/>
  <c r="R34" i="2" s="1"/>
  <c r="E42" i="2" s="1"/>
  <c r="E43" i="2" l="1"/>
  <c r="I17" i="2"/>
  <c r="G32" i="2"/>
  <c r="I32" i="2"/>
  <c r="D42" i="2" s="1"/>
  <c r="F38" i="2"/>
  <c r="F42" i="2" l="1"/>
  <c r="D43" i="2"/>
</calcChain>
</file>

<file path=xl/sharedStrings.xml><?xml version="1.0" encoding="utf-8"?>
<sst xmlns="http://schemas.openxmlformats.org/spreadsheetml/2006/main" count="97" uniqueCount="55">
  <si>
    <t>44645--CAC Exhibit 1 Remand Supporting Workpaper--7-28-17</t>
  </si>
  <si>
    <t>Residential</t>
  </si>
  <si>
    <t>Participation</t>
  </si>
  <si>
    <t>Total kWh</t>
  </si>
  <si>
    <t>Total KW</t>
  </si>
  <si>
    <t>Administration</t>
  </si>
  <si>
    <t>Implementation</t>
  </si>
  <si>
    <t>Incentives</t>
  </si>
  <si>
    <t>Total Program Costs</t>
  </si>
  <si>
    <t>Residential Lighting</t>
  </si>
  <si>
    <t xml:space="preserve">Home Energy Assessment and Weatherization  </t>
  </si>
  <si>
    <t>Residential Prescriptive</t>
  </si>
  <si>
    <t>Income Qualified Weatherization</t>
  </si>
  <si>
    <t>Residential New Construction</t>
  </si>
  <si>
    <t xml:space="preserve">Appliance Recycling </t>
  </si>
  <si>
    <t>Multi-Family Direct Install</t>
  </si>
  <si>
    <t>Energy Efficient Schools</t>
  </si>
  <si>
    <t>Home Energy Assessments &amp; Weatherization</t>
  </si>
  <si>
    <t>Residential Behavior Savings</t>
  </si>
  <si>
    <t>Multi Family Direct Install</t>
  </si>
  <si>
    <t>Appliance Recycling</t>
  </si>
  <si>
    <t>Residential Smart Thermostat Demand Response</t>
  </si>
  <si>
    <t>Smart Thermostat Program</t>
  </si>
  <si>
    <t>Nest Online Store</t>
  </si>
  <si>
    <t>Conservation Voltage Reduction - Residential</t>
  </si>
  <si>
    <t>CVR</t>
  </si>
  <si>
    <t>Residential Total</t>
  </si>
  <si>
    <t>Commercial &amp; Industrial</t>
  </si>
  <si>
    <t>Small Business Direct Install</t>
  </si>
  <si>
    <t>Commercial &amp; Industrial Prescriptive</t>
  </si>
  <si>
    <t>Commercial &amp; Industrial Custom</t>
  </si>
  <si>
    <t>Commercial &amp; Industrial New Construction</t>
  </si>
  <si>
    <t>Building  Tune up - South only</t>
  </si>
  <si>
    <t>Building Tune-up</t>
  </si>
  <si>
    <t>Multi-Family Retrofit</t>
  </si>
  <si>
    <t>Conservation Voltage Reduction - Commercial</t>
  </si>
  <si>
    <t>Commercial Total</t>
  </si>
  <si>
    <t>Evaluation</t>
  </si>
  <si>
    <t>Contact Center</t>
  </si>
  <si>
    <t>Customer Outreach</t>
  </si>
  <si>
    <t>Online Audit (Opower)</t>
  </si>
  <si>
    <t>Portfolio Total</t>
  </si>
  <si>
    <t>Source</t>
  </si>
  <si>
    <t>Component</t>
  </si>
  <si>
    <t>Total</t>
  </si>
  <si>
    <t>Exhibit CAC DR 7-2 (Lost Revenue Projections) Cause No 44645</t>
  </si>
  <si>
    <t>LRAM (Lifetime)</t>
  </si>
  <si>
    <t>LRAM (9 yr cap + 10% sav red)</t>
  </si>
  <si>
    <t>LRAM (4 yr cap)</t>
  </si>
  <si>
    <t>Exhibit CAC DR 7-4 (2016-2017 PI) Cause No 44645</t>
  </si>
  <si>
    <t>PI</t>
  </si>
  <si>
    <t>*assumes the PI @ 8%</t>
  </si>
  <si>
    <t>Exhibit CAC DR 7-5 (2016-2017 Budget Detail) Cause No 44645</t>
  </si>
  <si>
    <t>Program Costs</t>
  </si>
  <si>
    <t>LRAM (Incremental)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</si>
</sst>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/>
    <xf numFmtId="3" fontId="2" fillId="2" borderId="2" xfId="1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wrapText="1" shrinkToFit="1"/>
    </xf>
    <xf numFmtId="0" fontId="4" fillId="0" borderId="3" xfId="0" applyFont="1" applyFill="1" applyBorder="1"/>
    <xf numFmtId="3" fontId="4" fillId="0" borderId="3" xfId="1" applyNumberFormat="1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4" fillId="0" borderId="4" xfId="0" applyFont="1" applyFill="1" applyBorder="1"/>
    <xf numFmtId="3" fontId="4" fillId="0" borderId="4" xfId="1" applyNumberFormat="1" applyFont="1" applyFill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3" fontId="2" fillId="2" borderId="4" xfId="1" applyNumberFormat="1" applyFont="1" applyFill="1" applyBorder="1" applyAlignment="1">
      <alignment horizontal="center"/>
    </xf>
    <xf numFmtId="164" fontId="3" fillId="2" borderId="4" xfId="1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5" fillId="0" borderId="0" xfId="0" applyFont="1"/>
    <xf numFmtId="3" fontId="5" fillId="0" borderId="0" xfId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2" borderId="4" xfId="0" applyFont="1" applyFill="1" applyBorder="1"/>
    <xf numFmtId="0" fontId="5" fillId="0" borderId="4" xfId="0" applyFont="1" applyBorder="1"/>
    <xf numFmtId="3" fontId="5" fillId="0" borderId="4" xfId="1" applyNumberFormat="1" applyFont="1" applyBorder="1" applyAlignment="1">
      <alignment horizontal="center"/>
    </xf>
    <xf numFmtId="3" fontId="4" fillId="3" borderId="3" xfId="1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 applyFont="1" applyFill="1"/>
    <xf numFmtId="0" fontId="0" fillId="0" borderId="0" xfId="0" applyFont="1"/>
    <xf numFmtId="49" fontId="7" fillId="0" borderId="0" xfId="0" applyNumberFormat="1" applyFont="1" applyBorder="1" applyAlignment="1">
      <alignment horizontal="left" wrapText="1"/>
    </xf>
    <xf numFmtId="164" fontId="7" fillId="0" borderId="0" xfId="0" applyNumberFormat="1" applyFont="1" applyBorder="1"/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Border="1" applyAlignment="1">
      <alignment horizontal="center" wrapText="1"/>
    </xf>
    <xf numFmtId="1" fontId="8" fillId="0" borderId="0" xfId="0" applyNumberFormat="1" applyFont="1" applyBorder="1" applyAlignment="1">
      <alignment horizontal="center"/>
    </xf>
    <xf numFmtId="164" fontId="8" fillId="0" borderId="0" xfId="0" applyNumberFormat="1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3"/>
          <c:order val="0"/>
          <c:tx>
            <c:strRef>
              <c:f>'Program data'!$C$42</c:f>
              <c:strCache>
                <c:ptCount val="1"/>
                <c:pt idx="0">
                  <c:v>Program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'Program data'!$D$37:$E$37</c:f>
              <c:numCache>
                <c:formatCode>0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'Program data'!$D$42:$E$42</c:f>
              <c:numCache>
                <c:formatCode>"$"#,##0</c:formatCode>
                <c:ptCount val="2"/>
                <c:pt idx="0">
                  <c:v>8606194.629999999</c:v>
                </c:pt>
                <c:pt idx="1">
                  <c:v>8219889.9945162516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A1-4989-9A8B-E1931C32CA24}"/>
            </c:ext>
          </c:extLst>
        </c:ser>
        <c:ser>
          <c:idx val="1"/>
          <c:order val="1"/>
          <c:tx>
            <c:strRef>
              <c:f>'Program data'!$C$47</c:f>
              <c:strCache>
                <c:ptCount val="1"/>
                <c:pt idx="0">
                  <c:v>LRAM (Incremental)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'Program data'!$D$37:$E$37</c:f>
              <c:numCache>
                <c:formatCode>0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'Program data'!$D$47:$E$47</c:f>
              <c:numCache>
                <c:formatCode>"$"#,##0</c:formatCode>
                <c:ptCount val="2"/>
                <c:pt idx="0">
                  <c:v>1253600</c:v>
                </c:pt>
                <c:pt idx="1">
                  <c:v>1272500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A1-4989-9A8B-E1931C32CA24}"/>
            </c:ext>
          </c:extLst>
        </c:ser>
        <c:ser>
          <c:idx val="2"/>
          <c:order val="2"/>
          <c:tx>
            <c:strRef>
              <c:f>'Program data'!$C$41</c:f>
              <c:strCache>
                <c:ptCount val="1"/>
                <c:pt idx="0">
                  <c:v>PI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'Program data'!$D$37:$E$37</c:f>
              <c:numCache>
                <c:formatCode>0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'Program data'!$D$41:$E$41</c:f>
              <c:numCache>
                <c:formatCode>"$"#,##0</c:formatCode>
                <c:ptCount val="2"/>
                <c:pt idx="0">
                  <c:v>1221342.3159120728</c:v>
                </c:pt>
                <c:pt idx="1">
                  <c:v>861279.88956799998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AA1-4989-9A8B-E1931C32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079464"/>
        <c:axId val="230002816"/>
      </c:barChart>
      <c:catAx>
        <c:axId val="196079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002816"/>
        <c:crosses val="autoZero"/>
        <c:auto val="1"/>
        <c:lblAlgn val="ctr"/>
        <c:lblOffset val="100"/>
        <c:noMultiLvlLbl val="0"/>
      </c:catAx>
      <c:valAx>
        <c:axId val="23000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of Total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7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3"/>
          <c:order val="0"/>
          <c:tx>
            <c:strRef>
              <c:f>'Program data'!$C$42</c:f>
              <c:strCache>
                <c:ptCount val="1"/>
                <c:pt idx="0">
                  <c:v>Program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'Program data'!$D$42:$E$42</c:f>
              <c:numCache>
                <c:formatCode>"$"#,##0</c:formatCode>
                <c:ptCount val="2"/>
                <c:pt idx="0">
                  <c:v>8606194.629999999</c:v>
                </c:pt>
                <c:pt idx="1">
                  <c:v>8219889.9945162516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A1-4989-9A8B-E1931C32CA2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#REF!$C$29:$D$29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'Program data'!$C$38</c:f>
              <c:strCache>
                <c:ptCount val="1"/>
                <c:pt idx="0">
                  <c:v>LRAM (Lifetime)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'Program data'!$D$38:$E$38</c:f>
              <c:numCache>
                <c:formatCode>"$"#,##0</c:formatCode>
                <c:ptCount val="2"/>
                <c:pt idx="0">
                  <c:v>16246894.3909043</c:v>
                </c:pt>
                <c:pt idx="1">
                  <c:v>18016904.503813501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A1-4989-9A8B-E1931C32CA2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#REF!$C$29:$D$29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'Program data'!$C$41</c:f>
              <c:strCache>
                <c:ptCount val="1"/>
                <c:pt idx="0">
                  <c:v>PI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'Program data'!$D$41:$E$41</c:f>
              <c:numCache>
                <c:formatCode>"$"#,##0</c:formatCode>
                <c:ptCount val="2"/>
                <c:pt idx="0">
                  <c:v>1221342.3159120728</c:v>
                </c:pt>
                <c:pt idx="1">
                  <c:v>861279.88956799998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AA1-4989-9A8B-E1931C32CA2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#REF!$C$29:$D$29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3539128"/>
        <c:axId val="230137296"/>
      </c:barChart>
      <c:catAx>
        <c:axId val="1935391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137296"/>
        <c:crosses val="autoZero"/>
        <c:auto val="1"/>
        <c:lblAlgn val="ctr"/>
        <c:lblOffset val="100"/>
        <c:noMultiLvlLbl val="0"/>
      </c:catAx>
      <c:valAx>
        <c:axId val="23013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of Total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3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3"/>
          <c:order val="0"/>
          <c:tx>
            <c:strRef>
              <c:f>'Program data'!$C$42</c:f>
              <c:strCache>
                <c:ptCount val="1"/>
                <c:pt idx="0">
                  <c:v>Program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'Program data'!$D$42:$E$42</c:f>
              <c:numCache>
                <c:formatCode>"$"#,##0</c:formatCode>
                <c:ptCount val="2"/>
                <c:pt idx="0">
                  <c:v>8606194.629999999</c:v>
                </c:pt>
                <c:pt idx="1">
                  <c:v>8219889.9945162516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FC-40AB-B5E3-88C00E7B2753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#REF!$C$29:$D$29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'Program data'!$C$39</c:f>
              <c:strCache>
                <c:ptCount val="1"/>
                <c:pt idx="0">
                  <c:v>LRAM (9 yr cap + 10% sav red)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'Program data'!$D$39:$E$39</c:f>
              <c:numCache>
                <c:formatCode>"$"#,##0</c:formatCode>
                <c:ptCount val="2"/>
                <c:pt idx="0">
                  <c:v>12441505.594738197</c:v>
                </c:pt>
                <c:pt idx="1">
                  <c:v>13451425.551942397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FC-40AB-B5E3-88C00E7B2753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#REF!$C$29:$D$29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'Program data'!$C$41</c:f>
              <c:strCache>
                <c:ptCount val="1"/>
                <c:pt idx="0">
                  <c:v>PI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'Program data'!$D$41:$E$41</c:f>
              <c:numCache>
                <c:formatCode>"$"#,##0</c:formatCode>
                <c:ptCount val="2"/>
                <c:pt idx="0">
                  <c:v>1221342.3159120728</c:v>
                </c:pt>
                <c:pt idx="1">
                  <c:v>861279.88956799998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FC-40AB-B5E3-88C00E7B2753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#REF!$C$29:$D$29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7034016"/>
        <c:axId val="197034400"/>
      </c:barChart>
      <c:catAx>
        <c:axId val="197034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34400"/>
        <c:crosses val="autoZero"/>
        <c:auto val="1"/>
        <c:lblAlgn val="ctr"/>
        <c:lblOffset val="100"/>
        <c:noMultiLvlLbl val="0"/>
      </c:catAx>
      <c:valAx>
        <c:axId val="19703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of Total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3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3"/>
          <c:order val="0"/>
          <c:tx>
            <c:strRef>
              <c:f>'Program data'!$C$42</c:f>
              <c:strCache>
                <c:ptCount val="1"/>
                <c:pt idx="0">
                  <c:v>Program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'Program data'!$D$42:$E$42</c:f>
              <c:numCache>
                <c:formatCode>"$"#,##0</c:formatCode>
                <c:ptCount val="2"/>
                <c:pt idx="0">
                  <c:v>8606194.629999999</c:v>
                </c:pt>
                <c:pt idx="1">
                  <c:v>8219889.9945162516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C4-4DE1-95B0-A527D340A2B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#REF!$C$29:$D$29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'Program data'!$C$40</c:f>
              <c:strCache>
                <c:ptCount val="1"/>
                <c:pt idx="0">
                  <c:v>LRAM (4 yr cap)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'Program data'!$D$40:$E$40</c:f>
              <c:numCache>
                <c:formatCode>"$"#,##0</c:formatCode>
                <c:ptCount val="2"/>
                <c:pt idx="0">
                  <c:v>6949910.3261148222</c:v>
                </c:pt>
                <c:pt idx="1">
                  <c:v>7426883.8572711349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C4-4DE1-95B0-A527D340A2B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#REF!$C$29:$D$29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'Program data'!$C$41</c:f>
              <c:strCache>
                <c:ptCount val="1"/>
                <c:pt idx="0">
                  <c:v>PI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'Program data'!$D$41:$E$41</c:f>
              <c:numCache>
                <c:formatCode>"$"#,##0</c:formatCode>
                <c:ptCount val="2"/>
                <c:pt idx="0">
                  <c:v>1221342.3159120728</c:v>
                </c:pt>
                <c:pt idx="1">
                  <c:v>861279.88956799998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C4-4DE1-95B0-A527D340A2B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#REF!$C$29:$D$29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0183608"/>
        <c:axId val="231504992"/>
      </c:barChart>
      <c:catAx>
        <c:axId val="230183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04992"/>
        <c:crosses val="autoZero"/>
        <c:auto val="1"/>
        <c:lblAlgn val="ctr"/>
        <c:lblOffset val="100"/>
        <c:noMultiLvlLbl val="0"/>
      </c:catAx>
      <c:valAx>
        <c:axId val="23150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  <a:r>
                  <a:rPr lang="en-US" baseline="0"/>
                  <a:t> of Total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18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2016-2017 Costs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'Program data'!$C$38:$C$42</c:f>
              <c:strCache>
                <c:ptCount val="5"/>
                <c:pt idx="0">
                  <c:v>LRAM (Lifetime)</c:v>
                </c:pt>
                <c:pt idx="1">
                  <c:v>LRAM (9 yr cap + 10% sav red)</c:v>
                </c:pt>
                <c:pt idx="2">
                  <c:v>LRAM (4 yr cap)</c:v>
                </c:pt>
                <c:pt idx="3">
                  <c:v>PI</c:v>
                </c:pt>
                <c:pt idx="4">
                  <c:v>Program Costs</c:v>
                </c:pt>
              </c:strCache>
            </c:strRef>
          </c:cat>
          <c:val>
            <c:numRef>
              <c:f>'Program data'!$F$38:$F$42</c:f>
              <c:numCache>
                <c:formatCode>"$"#,##0</c:formatCode>
                <c:ptCount val="5"/>
                <c:pt idx="0">
                  <c:v>34263798.894717798</c:v>
                </c:pt>
                <c:pt idx="1">
                  <c:v>25892931.146680601</c:v>
                </c:pt>
                <c:pt idx="2">
                  <c:v>14376794.183386</c:v>
                </c:pt>
                <c:pt idx="3">
                  <c:v>2082622.2054800726</c:v>
                </c:pt>
                <c:pt idx="4">
                  <c:v>16826084.624516249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26-4F53-9E30-715EF14C4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rtl="0">
            <a:defRPr sz="1400" b="1">
              <a:latin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2016-2017 Costs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'Program data'!$C$38:$C$42</c:f>
              <c:strCache>
                <c:ptCount val="5"/>
                <c:pt idx="0">
                  <c:v>LRAM (Lifetime)</c:v>
                </c:pt>
                <c:pt idx="1">
                  <c:v>LRAM (9 yr cap + 10% sav red)</c:v>
                </c:pt>
                <c:pt idx="2">
                  <c:v>LRAM (4 yr cap)</c:v>
                </c:pt>
                <c:pt idx="3">
                  <c:v>PI</c:v>
                </c:pt>
                <c:pt idx="4">
                  <c:v>Program Costs</c:v>
                </c:pt>
              </c:strCache>
            </c:strRef>
          </c:cat>
          <c:val>
            <c:numRef>
              <c:f>'Program data'!$F$38:$F$42</c:f>
              <c:numCache>
                <c:formatCode>"$"#,##0</c:formatCode>
                <c:ptCount val="5"/>
                <c:pt idx="0">
                  <c:v>34263798.894717798</c:v>
                </c:pt>
                <c:pt idx="1">
                  <c:v>25892931.146680601</c:v>
                </c:pt>
                <c:pt idx="2">
                  <c:v>14376794.183386</c:v>
                </c:pt>
                <c:pt idx="3">
                  <c:v>2082622.2054800726</c:v>
                </c:pt>
                <c:pt idx="4">
                  <c:v>16826084.624516249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0E-42B2-9D2B-B0A716596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rtl="0">
            <a:defRPr sz="1400" b="1">
              <a:latin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2016-2017 Costs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'Program data'!$C$38:$C$42</c:f>
              <c:strCache>
                <c:ptCount val="5"/>
                <c:pt idx="0">
                  <c:v>LRAM (Lifetime)</c:v>
                </c:pt>
                <c:pt idx="1">
                  <c:v>LRAM (9 yr cap + 10% sav red)</c:v>
                </c:pt>
                <c:pt idx="2">
                  <c:v>LRAM (4 yr cap)</c:v>
                </c:pt>
                <c:pt idx="3">
                  <c:v>PI</c:v>
                </c:pt>
                <c:pt idx="4">
                  <c:v>Program Costs</c:v>
                </c:pt>
              </c:strCache>
            </c:strRef>
          </c:cat>
          <c:val>
            <c:numRef>
              <c:f>'Program data'!$F$38:$F$42</c:f>
              <c:numCache>
                <c:formatCode>"$"#,##0</c:formatCode>
                <c:ptCount val="5"/>
                <c:pt idx="0">
                  <c:v>34263798.894717798</c:v>
                </c:pt>
                <c:pt idx="1">
                  <c:v>25892931.146680601</c:v>
                </c:pt>
                <c:pt idx="2">
                  <c:v>14376794.183386</c:v>
                </c:pt>
                <c:pt idx="3">
                  <c:v>2082622.2054800726</c:v>
                </c:pt>
                <c:pt idx="4">
                  <c:v>16826084.624516249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6B-4C82-B649-65D669C8E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rtl="0">
            <a:defRPr sz="1400" b="1">
              <a:latin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457200</xdr:colOff>
      <xdr:row>4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880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590550</xdr:colOff>
      <xdr:row>4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3537DA1F-4403-4063-9BA7-FEA06EA66C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16C4C82-FFA5-487B-A80A-A5D23C3AB9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95AE0F1-C817-445D-A9E1-DBDA05E44C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38BBC3C-5F91-42DA-850C-C48E7D8E42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8D21C6C-5EF4-443E-802E-21AC2CAC28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D269864-61A4-411E-B451-A3C35FEAE1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.7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opLeftCell="A28" workbookViewId="0">
      <selection activeCell="E58" sqref="E58"/>
    </sheetView>
  </sheetViews>
  <sheetFormatPr defaultRowHeight="15.75" x14ac:dyDescent="0.25"/>
  <cols>
    <col min="2" max="2" width="53.25" bestFit="1" customWidth="1"/>
    <col min="3" max="3" width="12.5" customWidth="1"/>
    <col min="4" max="5" width="13.625" bestFit="1" customWidth="1"/>
    <col min="6" max="6" width="13.125" bestFit="1" customWidth="1"/>
    <col min="7" max="7" width="13.875" bestFit="1" customWidth="1"/>
    <col min="8" max="9" width="9.875" bestFit="1" customWidth="1"/>
    <col min="11" max="11" width="35.875" bestFit="1" customWidth="1"/>
    <col min="13" max="13" width="9.875" bestFit="1" customWidth="1"/>
    <col min="15" max="15" width="13.125" bestFit="1" customWidth="1"/>
    <col min="16" max="16" width="13.875" bestFit="1" customWidth="1"/>
    <col min="17" max="18" width="9.875" bestFit="1" customWidth="1"/>
  </cols>
  <sheetData>
    <row r="1" spans="1:18" x14ac:dyDescent="0.25">
      <c r="A1" t="s">
        <v>0</v>
      </c>
    </row>
    <row r="2" spans="1:18" ht="16.5" thickBot="1" x14ac:dyDescent="0.3"/>
    <row r="3" spans="1:18" ht="16.5" thickBot="1" x14ac:dyDescent="0.3">
      <c r="C3" s="34">
        <v>2016</v>
      </c>
      <c r="D3" s="35"/>
      <c r="E3" s="35"/>
      <c r="F3" s="35"/>
      <c r="G3" s="35"/>
      <c r="H3" s="35"/>
      <c r="I3" s="36"/>
      <c r="L3" s="34">
        <v>2017</v>
      </c>
      <c r="M3" s="35"/>
      <c r="N3" s="35"/>
      <c r="O3" s="35"/>
      <c r="P3" s="35"/>
      <c r="Q3" s="35"/>
      <c r="R3" s="36"/>
    </row>
    <row r="4" spans="1:18" ht="44.25" thickBot="1" x14ac:dyDescent="0.3">
      <c r="B4" s="1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3" t="s">
        <v>6</v>
      </c>
      <c r="H4" s="3" t="s">
        <v>7</v>
      </c>
      <c r="I4" s="4" t="s">
        <v>8</v>
      </c>
      <c r="K4" s="1" t="s">
        <v>1</v>
      </c>
      <c r="L4" s="2" t="s">
        <v>2</v>
      </c>
      <c r="M4" s="2" t="s">
        <v>3</v>
      </c>
      <c r="N4" s="2" t="s">
        <v>4</v>
      </c>
      <c r="O4" s="3" t="s">
        <v>5</v>
      </c>
      <c r="P4" s="3" t="s">
        <v>6</v>
      </c>
      <c r="Q4" s="3" t="s">
        <v>7</v>
      </c>
      <c r="R4" s="4" t="s">
        <v>8</v>
      </c>
    </row>
    <row r="5" spans="1:18" x14ac:dyDescent="0.25">
      <c r="B5" s="5" t="s">
        <v>9</v>
      </c>
      <c r="C5" s="6">
        <v>314618</v>
      </c>
      <c r="D5" s="6">
        <v>6902972</v>
      </c>
      <c r="E5" s="6">
        <v>1167</v>
      </c>
      <c r="F5" s="7">
        <v>54000</v>
      </c>
      <c r="G5" s="7">
        <v>201488.4</v>
      </c>
      <c r="H5" s="7">
        <v>481618</v>
      </c>
      <c r="I5" s="8">
        <f>SUM(F5:H5)</f>
        <v>737106.4</v>
      </c>
      <c r="K5" s="5" t="s">
        <v>9</v>
      </c>
      <c r="L5" s="6">
        <v>187900</v>
      </c>
      <c r="M5" s="6">
        <v>6149006.25</v>
      </c>
      <c r="N5" s="6">
        <v>753.93</v>
      </c>
      <c r="O5" s="7">
        <v>106000</v>
      </c>
      <c r="P5" s="7">
        <v>241500</v>
      </c>
      <c r="Q5" s="7">
        <v>500000</v>
      </c>
      <c r="R5" s="8">
        <f>SUM(O5:Q5)</f>
        <v>847500</v>
      </c>
    </row>
    <row r="6" spans="1:18" x14ac:dyDescent="0.25">
      <c r="B6" s="9" t="s">
        <v>10</v>
      </c>
      <c r="C6" s="6">
        <v>1500</v>
      </c>
      <c r="D6" s="6">
        <v>2048260</v>
      </c>
      <c r="E6" s="10">
        <v>262</v>
      </c>
      <c r="F6" s="11">
        <v>40000</v>
      </c>
      <c r="G6" s="11">
        <v>203987.3</v>
      </c>
      <c r="H6" s="11">
        <v>63636</v>
      </c>
      <c r="I6" s="12">
        <f t="shared" ref="I6:I16" si="0">SUM(F6:H6)</f>
        <v>307623.3</v>
      </c>
      <c r="K6" s="5" t="s">
        <v>11</v>
      </c>
      <c r="L6" s="6">
        <v>3863</v>
      </c>
      <c r="M6" s="6">
        <v>1615356</v>
      </c>
      <c r="N6" s="6">
        <v>1372.49</v>
      </c>
      <c r="O6" s="7">
        <v>26500</v>
      </c>
      <c r="P6" s="7">
        <v>228083</v>
      </c>
      <c r="Q6" s="7">
        <v>403802</v>
      </c>
      <c r="R6" s="8">
        <f t="shared" ref="R6:R15" si="1">SUM(O6:Q6)</f>
        <v>658385</v>
      </c>
    </row>
    <row r="7" spans="1:18" x14ac:dyDescent="0.25">
      <c r="B7" s="9" t="s">
        <v>12</v>
      </c>
      <c r="C7" s="6">
        <v>485</v>
      </c>
      <c r="D7" s="6">
        <v>1103043</v>
      </c>
      <c r="E7" s="10">
        <v>240</v>
      </c>
      <c r="F7" s="11">
        <v>40000</v>
      </c>
      <c r="G7" s="11">
        <v>324079</v>
      </c>
      <c r="H7" s="11">
        <v>0</v>
      </c>
      <c r="I7" s="12">
        <f t="shared" si="0"/>
        <v>364079</v>
      </c>
      <c r="K7" s="5" t="s">
        <v>13</v>
      </c>
      <c r="L7" s="6">
        <v>110</v>
      </c>
      <c r="M7" s="6">
        <v>148671</v>
      </c>
      <c r="N7" s="6">
        <v>93.92</v>
      </c>
      <c r="O7" s="7">
        <v>15900</v>
      </c>
      <c r="P7" s="7">
        <v>30855</v>
      </c>
      <c r="Q7" s="7">
        <v>27850</v>
      </c>
      <c r="R7" s="8">
        <f t="shared" si="1"/>
        <v>74605</v>
      </c>
    </row>
    <row r="8" spans="1:18" x14ac:dyDescent="0.25">
      <c r="B8" s="9" t="s">
        <v>14</v>
      </c>
      <c r="C8" s="6">
        <v>950</v>
      </c>
      <c r="D8" s="6">
        <v>1020544</v>
      </c>
      <c r="E8" s="10">
        <v>152</v>
      </c>
      <c r="F8" s="11">
        <v>40000</v>
      </c>
      <c r="G8" s="11">
        <v>87500</v>
      </c>
      <c r="H8" s="11">
        <v>47600</v>
      </c>
      <c r="I8" s="12">
        <f t="shared" si="0"/>
        <v>175100</v>
      </c>
      <c r="K8" s="5" t="s">
        <v>15</v>
      </c>
      <c r="L8" s="6">
        <v>0</v>
      </c>
      <c r="M8" s="6">
        <v>0</v>
      </c>
      <c r="N8" s="6">
        <v>0</v>
      </c>
      <c r="O8" s="7">
        <v>0</v>
      </c>
      <c r="P8" s="7">
        <v>0</v>
      </c>
      <c r="Q8" s="7">
        <v>0</v>
      </c>
      <c r="R8" s="8">
        <f t="shared" si="1"/>
        <v>0</v>
      </c>
    </row>
    <row r="9" spans="1:18" x14ac:dyDescent="0.25">
      <c r="B9" s="9" t="s">
        <v>16</v>
      </c>
      <c r="C9" s="6">
        <v>2400</v>
      </c>
      <c r="D9" s="6">
        <v>739963</v>
      </c>
      <c r="E9" s="10">
        <v>115</v>
      </c>
      <c r="F9" s="11">
        <v>30000</v>
      </c>
      <c r="G9" s="11">
        <v>113971.2</v>
      </c>
      <c r="H9" s="11">
        <v>0</v>
      </c>
      <c r="I9" s="12">
        <f t="shared" si="0"/>
        <v>143971.20000000001</v>
      </c>
      <c r="K9" s="5" t="s">
        <v>17</v>
      </c>
      <c r="L9" s="6">
        <v>2100</v>
      </c>
      <c r="M9" s="6">
        <v>1109536</v>
      </c>
      <c r="N9" s="6">
        <v>235</v>
      </c>
      <c r="O9" s="7">
        <v>42400</v>
      </c>
      <c r="P9" s="7">
        <v>553980</v>
      </c>
      <c r="Q9" s="7">
        <v>0</v>
      </c>
      <c r="R9" s="8">
        <f t="shared" si="1"/>
        <v>596380</v>
      </c>
    </row>
    <row r="10" spans="1:18" x14ac:dyDescent="0.25">
      <c r="B10" s="9" t="s">
        <v>11</v>
      </c>
      <c r="C10" s="6">
        <v>4643</v>
      </c>
      <c r="D10" s="6">
        <v>1997855</v>
      </c>
      <c r="E10" s="10">
        <v>918</v>
      </c>
      <c r="F10" s="11">
        <v>90000</v>
      </c>
      <c r="G10" s="11">
        <v>22260</v>
      </c>
      <c r="H10" s="11">
        <v>902490</v>
      </c>
      <c r="I10" s="12">
        <f t="shared" si="0"/>
        <v>1014750</v>
      </c>
      <c r="K10" s="5" t="s">
        <v>12</v>
      </c>
      <c r="L10" s="6">
        <v>461</v>
      </c>
      <c r="M10" s="6">
        <v>524399</v>
      </c>
      <c r="N10" s="6">
        <v>125</v>
      </c>
      <c r="O10" s="7">
        <v>21200</v>
      </c>
      <c r="P10" s="7">
        <v>637539</v>
      </c>
      <c r="Q10" s="7">
        <v>0</v>
      </c>
      <c r="R10" s="8">
        <f t="shared" si="1"/>
        <v>658739</v>
      </c>
    </row>
    <row r="11" spans="1:18" x14ac:dyDescent="0.25">
      <c r="B11" s="9" t="s">
        <v>13</v>
      </c>
      <c r="C11" s="6">
        <v>103</v>
      </c>
      <c r="D11" s="6">
        <v>260756</v>
      </c>
      <c r="E11" s="10">
        <v>168</v>
      </c>
      <c r="F11" s="11">
        <v>40000</v>
      </c>
      <c r="G11" s="11">
        <v>5600</v>
      </c>
      <c r="H11" s="11">
        <v>45066</v>
      </c>
      <c r="I11" s="12">
        <f t="shared" si="0"/>
        <v>90666</v>
      </c>
      <c r="K11" s="5" t="s">
        <v>16</v>
      </c>
      <c r="L11" s="6">
        <v>2400</v>
      </c>
      <c r="M11" s="6">
        <v>899705.85920562712</v>
      </c>
      <c r="N11" s="6">
        <v>52.8</v>
      </c>
      <c r="O11" s="7">
        <v>42400</v>
      </c>
      <c r="P11" s="7">
        <v>93852</v>
      </c>
      <c r="Q11" s="7">
        <v>0</v>
      </c>
      <c r="R11" s="8">
        <f t="shared" si="1"/>
        <v>136252</v>
      </c>
    </row>
    <row r="12" spans="1:18" x14ac:dyDescent="0.25">
      <c r="B12" s="9" t="s">
        <v>18</v>
      </c>
      <c r="C12" s="6">
        <v>49751</v>
      </c>
      <c r="D12" s="6">
        <v>8200000</v>
      </c>
      <c r="E12" s="10">
        <v>1400</v>
      </c>
      <c r="F12" s="11">
        <v>40000</v>
      </c>
      <c r="G12" s="11">
        <v>317075.20000000001</v>
      </c>
      <c r="H12" s="11">
        <v>0</v>
      </c>
      <c r="I12" s="12">
        <f t="shared" si="0"/>
        <v>357075.20000000001</v>
      </c>
      <c r="K12" s="5" t="s">
        <v>18</v>
      </c>
      <c r="L12" s="6">
        <v>44753</v>
      </c>
      <c r="M12" s="6">
        <v>7000000</v>
      </c>
      <c r="N12" s="6">
        <v>1377</v>
      </c>
      <c r="O12" s="7">
        <v>42400</v>
      </c>
      <c r="P12" s="7">
        <v>309689</v>
      </c>
      <c r="Q12" s="7">
        <v>0</v>
      </c>
      <c r="R12" s="8">
        <f t="shared" si="1"/>
        <v>352089</v>
      </c>
    </row>
    <row r="13" spans="1:18" x14ac:dyDescent="0.25">
      <c r="B13" s="9" t="s">
        <v>19</v>
      </c>
      <c r="C13" s="6">
        <v>985</v>
      </c>
      <c r="D13" s="6">
        <v>326240</v>
      </c>
      <c r="E13" s="10">
        <v>29</v>
      </c>
      <c r="F13" s="11">
        <v>0</v>
      </c>
      <c r="G13" s="11">
        <v>40676</v>
      </c>
      <c r="H13" s="11">
        <v>0</v>
      </c>
      <c r="I13" s="12">
        <f t="shared" si="0"/>
        <v>40676</v>
      </c>
      <c r="K13" s="5" t="s">
        <v>20</v>
      </c>
      <c r="L13" s="6">
        <v>1050</v>
      </c>
      <c r="M13" s="6">
        <v>1009957</v>
      </c>
      <c r="N13" s="6">
        <v>133.4</v>
      </c>
      <c r="O13" s="7">
        <v>21200</v>
      </c>
      <c r="P13" s="7">
        <v>110000</v>
      </c>
      <c r="Q13" s="7">
        <v>52500</v>
      </c>
      <c r="R13" s="8">
        <f t="shared" si="1"/>
        <v>183700</v>
      </c>
    </row>
    <row r="14" spans="1:18" x14ac:dyDescent="0.25">
      <c r="B14" s="9" t="s">
        <v>21</v>
      </c>
      <c r="C14" s="6">
        <v>2000</v>
      </c>
      <c r="D14" s="6">
        <v>858000</v>
      </c>
      <c r="E14" s="10">
        <v>1800</v>
      </c>
      <c r="F14" s="11">
        <v>60000</v>
      </c>
      <c r="G14" s="11">
        <f>445000+434000</f>
        <v>879000</v>
      </c>
      <c r="H14" s="11">
        <v>50000</v>
      </c>
      <c r="I14" s="12">
        <f t="shared" si="0"/>
        <v>989000</v>
      </c>
      <c r="K14" s="5" t="s">
        <v>22</v>
      </c>
      <c r="L14" s="23"/>
      <c r="M14" s="23"/>
      <c r="N14" s="23"/>
      <c r="O14" s="24"/>
      <c r="P14" s="7">
        <v>40000</v>
      </c>
      <c r="Q14" s="7">
        <v>50000</v>
      </c>
      <c r="R14" s="8">
        <f t="shared" si="1"/>
        <v>90000</v>
      </c>
    </row>
    <row r="15" spans="1:18" x14ac:dyDescent="0.25">
      <c r="B15" s="9" t="s">
        <v>23</v>
      </c>
      <c r="C15" s="6">
        <v>165</v>
      </c>
      <c r="D15" s="6">
        <v>70785</v>
      </c>
      <c r="E15" s="10">
        <v>148.5</v>
      </c>
      <c r="F15" s="11">
        <v>0</v>
      </c>
      <c r="G15" s="11">
        <v>0</v>
      </c>
      <c r="H15" s="11">
        <v>16500</v>
      </c>
      <c r="I15" s="12">
        <f t="shared" si="0"/>
        <v>16500</v>
      </c>
      <c r="K15" s="5" t="s">
        <v>24</v>
      </c>
      <c r="L15" s="6">
        <v>4500</v>
      </c>
      <c r="M15" s="6">
        <v>1252350</v>
      </c>
      <c r="N15" s="6">
        <v>429.75</v>
      </c>
      <c r="O15" s="7">
        <v>21200</v>
      </c>
      <c r="P15" s="7">
        <v>120498</v>
      </c>
      <c r="Q15" s="7">
        <v>0</v>
      </c>
      <c r="R15" s="8">
        <f t="shared" si="1"/>
        <v>141698</v>
      </c>
    </row>
    <row r="16" spans="1:18" x14ac:dyDescent="0.25">
      <c r="B16" s="9" t="s">
        <v>25</v>
      </c>
      <c r="C16" s="6">
        <v>0</v>
      </c>
      <c r="D16" s="6">
        <v>0</v>
      </c>
      <c r="E16" s="10">
        <v>0</v>
      </c>
      <c r="F16" s="11">
        <v>20000</v>
      </c>
      <c r="G16" s="11">
        <v>0</v>
      </c>
      <c r="H16" s="11">
        <v>0</v>
      </c>
      <c r="I16" s="12">
        <f t="shared" si="0"/>
        <v>20000</v>
      </c>
      <c r="K16" s="13" t="s">
        <v>26</v>
      </c>
      <c r="L16" s="14">
        <f t="shared" ref="L16:Q16" si="2">SUM(L5:L15)</f>
        <v>247137</v>
      </c>
      <c r="M16" s="14">
        <f t="shared" si="2"/>
        <v>19708981.109205626</v>
      </c>
      <c r="N16" s="14">
        <f t="shared" si="2"/>
        <v>4573.29</v>
      </c>
      <c r="O16" s="15">
        <f t="shared" si="2"/>
        <v>339200</v>
      </c>
      <c r="P16" s="15">
        <f t="shared" si="2"/>
        <v>2365996</v>
      </c>
      <c r="Q16" s="15">
        <f t="shared" si="2"/>
        <v>1034152</v>
      </c>
      <c r="R16" s="16">
        <f>SUM(O16:Q16)</f>
        <v>3739348</v>
      </c>
    </row>
    <row r="17" spans="2:18" x14ac:dyDescent="0.25">
      <c r="B17" s="13" t="s">
        <v>26</v>
      </c>
      <c r="C17" s="14">
        <f t="shared" ref="C17:H17" si="3">SUM(C5:C15)</f>
        <v>377600</v>
      </c>
      <c r="D17" s="14">
        <f t="shared" si="3"/>
        <v>23528418</v>
      </c>
      <c r="E17" s="14">
        <f t="shared" si="3"/>
        <v>6399.5</v>
      </c>
      <c r="F17" s="15">
        <f>SUM(F5:F16)</f>
        <v>454000</v>
      </c>
      <c r="G17" s="15">
        <f t="shared" si="3"/>
        <v>2195637.0999999996</v>
      </c>
      <c r="H17" s="15">
        <f t="shared" si="3"/>
        <v>1606910</v>
      </c>
      <c r="I17" s="16">
        <f>SUM(F17:H17)</f>
        <v>4256547.0999999996</v>
      </c>
      <c r="K17" s="17"/>
      <c r="L17" s="18"/>
      <c r="M17" s="18"/>
      <c r="N17" s="18"/>
      <c r="O17" s="19"/>
      <c r="P17" s="19"/>
      <c r="Q17" s="19"/>
      <c r="R17" s="19"/>
    </row>
    <row r="18" spans="2:18" ht="16.5" thickBot="1" x14ac:dyDescent="0.3">
      <c r="B18" s="17"/>
      <c r="C18" s="18"/>
      <c r="D18" s="18"/>
      <c r="E18" s="18"/>
      <c r="F18" s="19"/>
      <c r="G18" s="19"/>
      <c r="H18" s="19"/>
      <c r="I18" s="19"/>
      <c r="K18" s="17"/>
      <c r="L18" s="18"/>
      <c r="M18" s="18"/>
      <c r="N18" s="18"/>
      <c r="O18" s="19"/>
      <c r="P18" s="19"/>
      <c r="Q18" s="19"/>
      <c r="R18" s="19"/>
    </row>
    <row r="19" spans="2:18" ht="44.25" thickBot="1" x14ac:dyDescent="0.3">
      <c r="B19" s="1" t="s">
        <v>27</v>
      </c>
      <c r="C19" s="2" t="s">
        <v>2</v>
      </c>
      <c r="D19" s="2" t="s">
        <v>3</v>
      </c>
      <c r="E19" s="2" t="s">
        <v>4</v>
      </c>
      <c r="F19" s="3" t="s">
        <v>5</v>
      </c>
      <c r="G19" s="3" t="s">
        <v>6</v>
      </c>
      <c r="H19" s="3" t="s">
        <v>7</v>
      </c>
      <c r="I19" s="4" t="s">
        <v>8</v>
      </c>
      <c r="K19" s="1" t="s">
        <v>27</v>
      </c>
      <c r="L19" s="2"/>
      <c r="M19" s="2"/>
      <c r="N19" s="2"/>
      <c r="O19" s="3" t="s">
        <v>5</v>
      </c>
      <c r="P19" s="3" t="s">
        <v>6</v>
      </c>
      <c r="Q19" s="3" t="s">
        <v>7</v>
      </c>
      <c r="R19" s="4" t="s">
        <v>8</v>
      </c>
    </row>
    <row r="20" spans="2:18" x14ac:dyDescent="0.25">
      <c r="B20" s="5" t="s">
        <v>28</v>
      </c>
      <c r="C20" s="6">
        <v>26037</v>
      </c>
      <c r="D20" s="6">
        <v>6619675</v>
      </c>
      <c r="E20" s="6">
        <v>877.91499999999996</v>
      </c>
      <c r="F20" s="7">
        <v>85000</v>
      </c>
      <c r="G20" s="7">
        <v>437054</v>
      </c>
      <c r="H20" s="7">
        <v>1005600</v>
      </c>
      <c r="I20" s="8">
        <f t="shared" ref="I20:I25" si="4">SUM(F20:H20)</f>
        <v>1527654</v>
      </c>
      <c r="K20" s="5" t="s">
        <v>29</v>
      </c>
      <c r="L20" s="6">
        <v>7678</v>
      </c>
      <c r="M20" s="6">
        <v>6000001</v>
      </c>
      <c r="N20" s="6">
        <v>561</v>
      </c>
      <c r="O20" s="7">
        <v>47700</v>
      </c>
      <c r="P20" s="7">
        <v>242000</v>
      </c>
      <c r="Q20" s="7">
        <v>600000</v>
      </c>
      <c r="R20" s="8">
        <f t="shared" ref="R20:R26" si="5">SUM(O20:Q20)</f>
        <v>889700</v>
      </c>
    </row>
    <row r="21" spans="2:18" x14ac:dyDescent="0.25">
      <c r="B21" s="9" t="s">
        <v>29</v>
      </c>
      <c r="C21" s="6">
        <v>12540</v>
      </c>
      <c r="D21" s="6">
        <v>6911630</v>
      </c>
      <c r="E21" s="10">
        <v>1303.32</v>
      </c>
      <c r="F21" s="11">
        <v>40000</v>
      </c>
      <c r="G21" s="11">
        <v>121486</v>
      </c>
      <c r="H21" s="11">
        <v>677809</v>
      </c>
      <c r="I21" s="12">
        <f t="shared" si="4"/>
        <v>839295</v>
      </c>
      <c r="K21" s="5" t="s">
        <v>30</v>
      </c>
      <c r="L21" s="6">
        <v>50</v>
      </c>
      <c r="M21" s="6">
        <v>5000000</v>
      </c>
      <c r="N21" s="6">
        <v>476</v>
      </c>
      <c r="O21" s="7">
        <v>68900</v>
      </c>
      <c r="P21" s="7">
        <v>340500</v>
      </c>
      <c r="Q21" s="7">
        <v>600000</v>
      </c>
      <c r="R21" s="8">
        <f t="shared" si="5"/>
        <v>1009400</v>
      </c>
    </row>
    <row r="22" spans="2:18" x14ac:dyDescent="0.25">
      <c r="B22" s="9" t="s">
        <v>31</v>
      </c>
      <c r="C22" s="6">
        <v>15</v>
      </c>
      <c r="D22" s="6">
        <v>519000</v>
      </c>
      <c r="E22" s="10">
        <v>94</v>
      </c>
      <c r="F22" s="11">
        <v>30000</v>
      </c>
      <c r="G22" s="11">
        <v>77271.53</v>
      </c>
      <c r="H22" s="11">
        <v>65750</v>
      </c>
      <c r="I22" s="12">
        <f t="shared" si="4"/>
        <v>173021.53</v>
      </c>
      <c r="K22" s="5" t="s">
        <v>28</v>
      </c>
      <c r="L22" s="6">
        <v>9460</v>
      </c>
      <c r="M22" s="6">
        <v>3913722</v>
      </c>
      <c r="N22" s="6">
        <v>460</v>
      </c>
      <c r="O22" s="7">
        <v>15900</v>
      </c>
      <c r="P22" s="7">
        <v>322500</v>
      </c>
      <c r="Q22" s="7">
        <v>752500</v>
      </c>
      <c r="R22" s="8">
        <f t="shared" si="5"/>
        <v>1090900</v>
      </c>
    </row>
    <row r="23" spans="2:18" x14ac:dyDescent="0.25">
      <c r="B23" s="9" t="s">
        <v>30</v>
      </c>
      <c r="C23" s="6">
        <v>25</v>
      </c>
      <c r="D23" s="6">
        <v>4296200</v>
      </c>
      <c r="E23" s="10">
        <v>525.29999999999995</v>
      </c>
      <c r="F23" s="11">
        <v>80000</v>
      </c>
      <c r="G23" s="11">
        <v>203082</v>
      </c>
      <c r="H23" s="11">
        <v>515544</v>
      </c>
      <c r="I23" s="12">
        <f t="shared" si="4"/>
        <v>798626</v>
      </c>
      <c r="K23" s="5" t="s">
        <v>31</v>
      </c>
      <c r="L23" s="6">
        <v>18</v>
      </c>
      <c r="M23" s="6">
        <v>500830</v>
      </c>
      <c r="N23" s="6">
        <v>405</v>
      </c>
      <c r="O23" s="7">
        <v>26500</v>
      </c>
      <c r="P23" s="7">
        <v>77500</v>
      </c>
      <c r="Q23" s="7">
        <v>65000</v>
      </c>
      <c r="R23" s="8">
        <f t="shared" si="5"/>
        <v>169000</v>
      </c>
    </row>
    <row r="24" spans="2:18" x14ac:dyDescent="0.25">
      <c r="B24" s="9" t="s">
        <v>32</v>
      </c>
      <c r="C24" s="6">
        <v>9</v>
      </c>
      <c r="D24" s="6">
        <v>450000</v>
      </c>
      <c r="E24" s="10">
        <v>0</v>
      </c>
      <c r="F24" s="11">
        <v>6250</v>
      </c>
      <c r="G24" s="11">
        <v>107932</v>
      </c>
      <c r="H24" s="11">
        <v>20250</v>
      </c>
      <c r="I24" s="12">
        <f t="shared" si="4"/>
        <v>134432</v>
      </c>
      <c r="K24" s="5" t="s">
        <v>33</v>
      </c>
      <c r="L24" s="6">
        <v>10</v>
      </c>
      <c r="M24" s="6">
        <v>500000</v>
      </c>
      <c r="N24" s="6">
        <v>0</v>
      </c>
      <c r="O24" s="7">
        <v>2650</v>
      </c>
      <c r="P24" s="7">
        <v>115000</v>
      </c>
      <c r="Q24" s="7">
        <v>25000</v>
      </c>
      <c r="R24" s="8">
        <f t="shared" si="5"/>
        <v>142650</v>
      </c>
    </row>
    <row r="25" spans="2:18" x14ac:dyDescent="0.25">
      <c r="B25" s="9" t="s">
        <v>25</v>
      </c>
      <c r="C25" s="6">
        <v>0</v>
      </c>
      <c r="D25" s="6">
        <v>0</v>
      </c>
      <c r="E25" s="10">
        <v>0</v>
      </c>
      <c r="F25" s="11">
        <v>20000</v>
      </c>
      <c r="G25" s="11">
        <v>0</v>
      </c>
      <c r="H25" s="11">
        <v>0</v>
      </c>
      <c r="I25" s="12">
        <f t="shared" si="4"/>
        <v>20000</v>
      </c>
      <c r="K25" s="5" t="s">
        <v>34</v>
      </c>
      <c r="L25" s="6">
        <v>10</v>
      </c>
      <c r="M25" s="6">
        <v>336281</v>
      </c>
      <c r="N25" s="6">
        <v>39</v>
      </c>
      <c r="O25" s="7">
        <v>2650</v>
      </c>
      <c r="P25" s="7">
        <v>27500</v>
      </c>
      <c r="Q25" s="7">
        <v>55000</v>
      </c>
      <c r="R25" s="8">
        <f t="shared" si="5"/>
        <v>85150</v>
      </c>
    </row>
    <row r="26" spans="2:18" x14ac:dyDescent="0.25">
      <c r="B26" s="9">
        <v>0</v>
      </c>
      <c r="C26" s="10"/>
      <c r="D26" s="10"/>
      <c r="E26" s="10"/>
      <c r="F26" s="11">
        <v>418546.69582367962</v>
      </c>
      <c r="G26" s="11"/>
      <c r="H26" s="11"/>
      <c r="I26" s="11"/>
      <c r="K26" s="5" t="s">
        <v>35</v>
      </c>
      <c r="L26" s="6">
        <v>730</v>
      </c>
      <c r="M26" s="6">
        <v>1144768</v>
      </c>
      <c r="N26" s="6">
        <v>214</v>
      </c>
      <c r="O26" s="7">
        <v>26500</v>
      </c>
      <c r="P26" s="7">
        <v>110146.99451625124</v>
      </c>
      <c r="Q26" s="7">
        <v>0</v>
      </c>
      <c r="R26" s="8">
        <f t="shared" si="5"/>
        <v>136646.99451625126</v>
      </c>
    </row>
    <row r="27" spans="2:18" x14ac:dyDescent="0.25">
      <c r="B27" s="20" t="s">
        <v>36</v>
      </c>
      <c r="C27" s="14">
        <f>SUM(C20:C26)</f>
        <v>38626</v>
      </c>
      <c r="D27" s="14">
        <f>SUM(D20:D26)</f>
        <v>18796505</v>
      </c>
      <c r="E27" s="14">
        <f>SUM(E20:E26)</f>
        <v>2800.5349999999999</v>
      </c>
      <c r="F27" s="15">
        <f>ROUND(SUM(F20:F25),2)</f>
        <v>261250</v>
      </c>
      <c r="G27" s="15">
        <f>ROUND(SUM(G20:G25),2)</f>
        <v>946825.53</v>
      </c>
      <c r="H27" s="15">
        <f>ROUND(SUM(H20:H25),2)</f>
        <v>2284953</v>
      </c>
      <c r="I27" s="15">
        <f>ROUND(SUM(I20:I25),2)</f>
        <v>3493028.53</v>
      </c>
      <c r="K27" s="20" t="s">
        <v>36</v>
      </c>
      <c r="L27" s="14">
        <f t="shared" ref="L27:R27" si="6">SUM(L20:L26)</f>
        <v>17956</v>
      </c>
      <c r="M27" s="14">
        <f t="shared" si="6"/>
        <v>17395602</v>
      </c>
      <c r="N27" s="14">
        <f t="shared" si="6"/>
        <v>2155</v>
      </c>
      <c r="O27" s="15">
        <f t="shared" si="6"/>
        <v>190800</v>
      </c>
      <c r="P27" s="15">
        <f t="shared" si="6"/>
        <v>1235146.9945162511</v>
      </c>
      <c r="Q27" s="15">
        <f t="shared" si="6"/>
        <v>2097500</v>
      </c>
      <c r="R27" s="15">
        <f t="shared" si="6"/>
        <v>3523446.9945162511</v>
      </c>
    </row>
    <row r="28" spans="2:18" x14ac:dyDescent="0.25">
      <c r="B28" s="17"/>
      <c r="C28" s="18"/>
      <c r="D28" s="18"/>
      <c r="E28" s="18"/>
      <c r="F28" s="19"/>
      <c r="G28" s="19"/>
      <c r="H28" s="19"/>
      <c r="I28" s="19"/>
      <c r="K28" s="17"/>
      <c r="L28" s="18"/>
      <c r="M28" s="18"/>
      <c r="N28" s="18"/>
      <c r="O28" s="19"/>
      <c r="P28" s="19"/>
      <c r="Q28" s="19"/>
      <c r="R28" s="19"/>
    </row>
    <row r="29" spans="2:18" x14ac:dyDescent="0.25">
      <c r="B29" s="21" t="s">
        <v>37</v>
      </c>
      <c r="C29" s="22"/>
      <c r="D29" s="22"/>
      <c r="E29" s="22"/>
      <c r="F29" s="12">
        <v>409819</v>
      </c>
      <c r="G29" s="12"/>
      <c r="H29" s="12"/>
      <c r="I29" s="12">
        <f t="shared" ref="I29:I30" si="7">SUM(F29:H29)</f>
        <v>409819</v>
      </c>
      <c r="K29" s="21" t="s">
        <v>38</v>
      </c>
      <c r="L29" s="22"/>
      <c r="M29" s="22"/>
      <c r="N29" s="22"/>
      <c r="O29" s="12">
        <v>60000</v>
      </c>
      <c r="P29" s="12"/>
      <c r="Q29" s="12"/>
      <c r="R29" s="12">
        <f t="shared" ref="R29:R32" si="8">SUM(O29:Q29)</f>
        <v>60000</v>
      </c>
    </row>
    <row r="30" spans="2:18" x14ac:dyDescent="0.25">
      <c r="B30" s="21" t="s">
        <v>39</v>
      </c>
      <c r="C30" s="22"/>
      <c r="D30" s="22"/>
      <c r="E30" s="22"/>
      <c r="F30" s="12">
        <v>446800</v>
      </c>
      <c r="G30" s="12"/>
      <c r="H30" s="12"/>
      <c r="I30" s="12">
        <f t="shared" si="7"/>
        <v>446800</v>
      </c>
      <c r="K30" s="21" t="s">
        <v>40</v>
      </c>
      <c r="L30" s="22"/>
      <c r="M30" s="22"/>
      <c r="N30" s="22"/>
      <c r="O30" s="12">
        <v>25000</v>
      </c>
      <c r="P30" s="12"/>
      <c r="Q30" s="12"/>
      <c r="R30" s="12">
        <f t="shared" si="8"/>
        <v>25000</v>
      </c>
    </row>
    <row r="31" spans="2:18" x14ac:dyDescent="0.25">
      <c r="B31" s="17"/>
      <c r="C31" s="18"/>
      <c r="D31" s="18"/>
      <c r="E31" s="18"/>
      <c r="F31" s="19"/>
      <c r="G31" s="19"/>
      <c r="H31" s="19"/>
      <c r="I31" s="19"/>
      <c r="K31" s="21" t="s">
        <v>39</v>
      </c>
      <c r="L31" s="22"/>
      <c r="M31" s="22"/>
      <c r="N31" s="22"/>
      <c r="O31" s="12">
        <v>480672</v>
      </c>
      <c r="P31" s="12"/>
      <c r="Q31" s="12"/>
      <c r="R31" s="12">
        <f t="shared" si="8"/>
        <v>480672</v>
      </c>
    </row>
    <row r="32" spans="2:18" x14ac:dyDescent="0.25">
      <c r="B32" s="13" t="s">
        <v>41</v>
      </c>
      <c r="C32" s="14">
        <f>C27+C17</f>
        <v>416226</v>
      </c>
      <c r="D32" s="14">
        <f>D27+D17</f>
        <v>42324923</v>
      </c>
      <c r="E32" s="14">
        <f>E27+E17</f>
        <v>9200.0349999999999</v>
      </c>
      <c r="F32" s="15">
        <f>F27+F29+F30+F17</f>
        <v>1571869</v>
      </c>
      <c r="G32" s="15">
        <f t="shared" ref="G32:I32" si="9">G27+G29+G30+G17</f>
        <v>3142462.63</v>
      </c>
      <c r="H32" s="15">
        <f t="shared" si="9"/>
        <v>3891863</v>
      </c>
      <c r="I32" s="15">
        <f t="shared" si="9"/>
        <v>8606194.629999999</v>
      </c>
      <c r="K32" s="21" t="s">
        <v>37</v>
      </c>
      <c r="L32" s="22"/>
      <c r="M32" s="22"/>
      <c r="N32" s="22"/>
      <c r="O32" s="12">
        <v>391423</v>
      </c>
      <c r="P32" s="12"/>
      <c r="Q32" s="12"/>
      <c r="R32" s="12">
        <f t="shared" si="8"/>
        <v>391423</v>
      </c>
    </row>
    <row r="33" spans="2:18" x14ac:dyDescent="0.25">
      <c r="K33" s="17"/>
      <c r="L33" s="18"/>
      <c r="M33" s="18"/>
      <c r="N33" s="18"/>
      <c r="O33" s="19"/>
      <c r="P33" s="19"/>
      <c r="Q33" s="19"/>
      <c r="R33" s="19"/>
    </row>
    <row r="34" spans="2:18" x14ac:dyDescent="0.25">
      <c r="K34" s="13" t="s">
        <v>41</v>
      </c>
      <c r="L34" s="14">
        <f>L27+L16</f>
        <v>265093</v>
      </c>
      <c r="M34" s="14">
        <f>M27+M16</f>
        <v>37104583.109205626</v>
      </c>
      <c r="N34" s="14">
        <f>N27+N16</f>
        <v>6728.29</v>
      </c>
      <c r="O34" s="15">
        <f>SUM(O29:O32)+O27+O16</f>
        <v>1487095</v>
      </c>
      <c r="P34" s="15">
        <f>SUM(P29:P32)+P27+P16</f>
        <v>3601142.9945162511</v>
      </c>
      <c r="Q34" s="15">
        <f>SUM(Q29:Q32)+Q27+Q16</f>
        <v>3131652</v>
      </c>
      <c r="R34" s="15">
        <f>SUM(R29:R32)+R27+R16</f>
        <v>8219889.9945162516</v>
      </c>
    </row>
    <row r="37" spans="2:18" x14ac:dyDescent="0.25">
      <c r="B37" s="25" t="s">
        <v>42</v>
      </c>
      <c r="C37" s="31" t="s">
        <v>43</v>
      </c>
      <c r="D37" s="32">
        <v>2016</v>
      </c>
      <c r="E37" s="32">
        <v>2017</v>
      </c>
      <c r="F37" s="27" t="s">
        <v>44</v>
      </c>
    </row>
    <row r="38" spans="2:18" ht="31.5" x14ac:dyDescent="0.25">
      <c r="B38" s="27" t="s">
        <v>45</v>
      </c>
      <c r="C38" s="28" t="s">
        <v>46</v>
      </c>
      <c r="D38" s="29">
        <f>16246.8943909043*1000</f>
        <v>16246894.3909043</v>
      </c>
      <c r="E38" s="29">
        <f>18016.9045038135*1000</f>
        <v>18016904.503813501</v>
      </c>
      <c r="F38" s="29">
        <f>D38+E38</f>
        <v>34263798.894717798</v>
      </c>
      <c r="G38" s="27"/>
    </row>
    <row r="39" spans="2:18" ht="47.25" x14ac:dyDescent="0.25">
      <c r="B39" s="27" t="s">
        <v>45</v>
      </c>
      <c r="C39" s="28" t="s">
        <v>47</v>
      </c>
      <c r="D39" s="29">
        <v>12441505.594738197</v>
      </c>
      <c r="E39" s="29">
        <v>13451425.551942397</v>
      </c>
      <c r="F39" s="29">
        <f>25.8929311466806*1000000</f>
        <v>25892931.146680601</v>
      </c>
      <c r="G39" s="27"/>
    </row>
    <row r="40" spans="2:18" ht="31.5" x14ac:dyDescent="0.25">
      <c r="B40" s="27" t="s">
        <v>45</v>
      </c>
      <c r="C40" s="28" t="s">
        <v>48</v>
      </c>
      <c r="D40" s="29">
        <v>6949910.3261148222</v>
      </c>
      <c r="E40" s="29">
        <v>7426883.8572711349</v>
      </c>
      <c r="F40" s="29">
        <f>14.376794183386*1000000</f>
        <v>14376794.183386</v>
      </c>
      <c r="G40" s="27"/>
    </row>
    <row r="41" spans="2:18" x14ac:dyDescent="0.25">
      <c r="B41" s="27" t="s">
        <v>49</v>
      </c>
      <c r="C41" s="28" t="s">
        <v>50</v>
      </c>
      <c r="D41" s="26">
        <v>1221342.3159120728</v>
      </c>
      <c r="E41" s="29">
        <v>861279.88956799998</v>
      </c>
      <c r="F41" s="29">
        <f t="shared" ref="F41:F42" si="10">D41+E41</f>
        <v>2082622.2054800726</v>
      </c>
      <c r="G41" s="27" t="s">
        <v>51</v>
      </c>
    </row>
    <row r="42" spans="2:18" ht="31.5" x14ac:dyDescent="0.25">
      <c r="B42" s="27" t="s">
        <v>52</v>
      </c>
      <c r="C42" s="28" t="s">
        <v>53</v>
      </c>
      <c r="D42" s="26">
        <f>I32</f>
        <v>8606194.629999999</v>
      </c>
      <c r="E42" s="26">
        <f>R34</f>
        <v>8219889.9945162516</v>
      </c>
      <c r="F42" s="29">
        <f t="shared" si="10"/>
        <v>16826084.624516249</v>
      </c>
      <c r="G42" s="27"/>
    </row>
    <row r="43" spans="2:18" x14ac:dyDescent="0.25">
      <c r="B43" s="27"/>
      <c r="C43" s="30" t="s">
        <v>44</v>
      </c>
      <c r="D43" s="33">
        <f>SUM(D38:D42)</f>
        <v>45465847.257669389</v>
      </c>
      <c r="E43" s="33">
        <f t="shared" ref="E43" si="11">SUM(E38:E42)</f>
        <v>47976383.797111288</v>
      </c>
      <c r="F43" s="33"/>
      <c r="G43" s="27"/>
    </row>
    <row r="47" spans="2:18" ht="31.5" x14ac:dyDescent="0.25">
      <c r="C47" s="28" t="s">
        <v>54</v>
      </c>
      <c r="D47" s="29">
        <f>1253.6*1000</f>
        <v>1253600</v>
      </c>
      <c r="E47" s="29">
        <f>1272.5*1000</f>
        <v>1272500</v>
      </c>
      <c r="F47" s="29">
        <f t="shared" ref="F47:F48" si="12">D47+E47</f>
        <v>2526100</v>
      </c>
    </row>
    <row r="48" spans="2:18" x14ac:dyDescent="0.25">
      <c r="C48" s="28" t="s">
        <v>50</v>
      </c>
      <c r="D48" s="26">
        <v>1221342.3159120728</v>
      </c>
      <c r="E48" s="29">
        <v>861279.88956799998</v>
      </c>
      <c r="F48" s="29">
        <f t="shared" si="12"/>
        <v>2082622.2054800726</v>
      </c>
    </row>
    <row r="49" spans="3:6" ht="31.5" x14ac:dyDescent="0.25">
      <c r="C49" s="28" t="s">
        <v>53</v>
      </c>
      <c r="D49" s="26">
        <v>8606194.629999999</v>
      </c>
      <c r="E49" s="26">
        <v>8219889.9945162516</v>
      </c>
      <c r="F49" s="29">
        <v>16826084.624516249</v>
      </c>
    </row>
    <row r="50" spans="3:6" x14ac:dyDescent="0.25">
      <c r="C50" s="30" t="s">
        <v>44</v>
      </c>
      <c r="D50" s="33">
        <f>SUM(D47:D49)</f>
        <v>11081136.945912071</v>
      </c>
      <c r="E50" s="33">
        <f t="shared" ref="E50:F50" si="13">SUM(E47:E49)</f>
        <v>10353669.884084251</v>
      </c>
      <c r="F50" s="33">
        <f t="shared" si="13"/>
        <v>21434806.829996321</v>
      </c>
    </row>
  </sheetData>
  <mergeCells count="2">
    <mergeCell ref="C3:I3"/>
    <mergeCell ref="L3:R3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_ip_UnifiedCompliancePolicyUIAction xmlns="http://schemas.microsoft.com/sharepoint/v3" xsi:nil="true"/>
    <_ip_UnifiedCompliancePolicyProperties xmlns="http://schemas.microsoft.com/sharepoint/v3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FD56BE-246E-4631-BF3C-B2DBC0B94E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79EC4C-9F54-4932-9739-8F9061A7FB0A}">
  <ds:schemaRefs>
    <ds:schemaRef ds:uri="http://purl.org/dc/elements/1.1/"/>
    <ds:schemaRef ds:uri="621b3311-adc9-44a7-af0e-36067350c19c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9180bc4-2f7d-45e7-9e22-353907fb92c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3EB079C-9D62-46A6-834F-2916F33DEF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7</vt:i4>
      </vt:variant>
    </vt:vector>
  </HeadingPairs>
  <TitlesOfParts>
    <vt:vector size="10" baseType="lpstr">
      <vt:lpstr>Sheet2</vt:lpstr>
      <vt:lpstr>Sheet1</vt:lpstr>
      <vt:lpstr>Program data</vt:lpstr>
      <vt:lpstr>Incremental LRAM - stacked bar</vt:lpstr>
      <vt:lpstr>Lifetime LRAM - stacked bar</vt:lpstr>
      <vt:lpstr>9 yr LRAM - stacked bar</vt:lpstr>
      <vt:lpstr>4 yr LRAM - stacked bar</vt:lpstr>
      <vt:lpstr>Lifetime LRAM - pie chart</vt:lpstr>
      <vt:lpstr>9 yr LRAM - pie chart</vt:lpstr>
      <vt:lpstr>4 yr LRAM - pie chart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Hunter, Stacy</cp:lastModifiedBy>
  <cp:revision/>
  <dcterms:created xsi:type="dcterms:W3CDTF">2017-07-11T18:13:59Z</dcterms:created>
  <dcterms:modified xsi:type="dcterms:W3CDTF">2017-08-23T13:14:22Z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