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Bruce\Desktop\FILINGS\"/>
    </mc:Choice>
  </mc:AlternateContent>
  <xr:revisionPtr revIDLastSave="0" documentId="8_{05ADD3C1-BCD5-464D-A882-740ABE2D58B5}" xr6:coauthVersionLast="47" xr6:coauthVersionMax="47" xr10:uidLastSave="{00000000-0000-0000-0000-000000000000}"/>
  <bookViews>
    <workbookView xWindow="28680" yWindow="-120" windowWidth="19440" windowHeight="15000" tabRatio="869" xr2:uid="{EA5F7B9C-C733-4CF1-9C55-E763034A7A55}"/>
  </bookViews>
  <sheets>
    <sheet name="Cover" sheetId="16" r:id="rId1"/>
    <sheet name="Figure AJW-5" sheetId="20" r:id="rId2"/>
    <sheet name="Fixed Summary" sheetId="12" r:id="rId3"/>
    <sheet name="Detail by BU, Gen Type" sheetId="9" r:id="rId4"/>
    <sheet name="Source Summary" sheetId="19" r:id="rId5"/>
    <sheet name="Capacity" sheetId="14" r:id="rId6"/>
    <sheet name="By Plant Workpaper" sheetId="2" r:id="rId7"/>
    <sheet name="O&amp;M" sheetId="8" r:id="rId8"/>
    <sheet name="Rate of Return" sheetId="1" r:id="rId9"/>
    <sheet name="NBV By Fuel Type" sheetId="3" r:id="rId10"/>
    <sheet name="LASOR Gen Summary - I&amp;M" sheetId="11" r:id="rId11"/>
  </sheets>
  <definedNames>
    <definedName name="_xlnm.Print_Titles" localSheetId="9">'NBV By Fuel Type'!$1:$5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0" l="1"/>
  <c r="C11" i="20"/>
  <c r="D11" i="20"/>
  <c r="E11" i="20"/>
  <c r="D13" i="20"/>
  <c r="C19" i="3"/>
  <c r="E19" i="3"/>
  <c r="G19" i="3"/>
  <c r="I19" i="3"/>
  <c r="K19" i="3"/>
  <c r="I16" i="12" l="1"/>
  <c r="C9" i="8" l="1"/>
  <c r="C7" i="8"/>
  <c r="M97" i="8" l="1"/>
  <c r="M96" i="8"/>
  <c r="M95" i="8"/>
  <c r="M94" i="8"/>
  <c r="M93" i="8"/>
  <c r="M92" i="8"/>
  <c r="M91" i="8"/>
  <c r="M90" i="8"/>
  <c r="M89" i="8"/>
  <c r="M88" i="8"/>
  <c r="M87" i="8"/>
  <c r="M86" i="8"/>
  <c r="I97" i="8"/>
  <c r="I96" i="8"/>
  <c r="I95" i="8"/>
  <c r="I94" i="8"/>
  <c r="I93" i="8"/>
  <c r="I92" i="8"/>
  <c r="I91" i="8"/>
  <c r="I90" i="8"/>
  <c r="I89" i="8"/>
  <c r="I88" i="8"/>
  <c r="I87" i="8"/>
  <c r="I86" i="8"/>
  <c r="E97" i="8"/>
  <c r="E96" i="8"/>
  <c r="E95" i="8"/>
  <c r="E94" i="8"/>
  <c r="E93" i="8"/>
  <c r="E92" i="8"/>
  <c r="E91" i="8"/>
  <c r="P91" i="8" s="1"/>
  <c r="E90" i="8"/>
  <c r="E89" i="8"/>
  <c r="E88" i="8"/>
  <c r="E87" i="8"/>
  <c r="E86" i="8"/>
  <c r="O86" i="8" l="1"/>
  <c r="P94" i="8"/>
  <c r="O87" i="8"/>
  <c r="O89" i="8"/>
  <c r="O95" i="8"/>
  <c r="O90" i="8"/>
  <c r="O91" i="8"/>
  <c r="O92" i="8"/>
  <c r="O93" i="8"/>
  <c r="P86" i="8"/>
  <c r="O94" i="8"/>
  <c r="P87" i="8"/>
  <c r="P95" i="8"/>
  <c r="P88" i="8"/>
  <c r="P96" i="8"/>
  <c r="P89" i="8"/>
  <c r="P97" i="8"/>
  <c r="O96" i="8"/>
  <c r="O88" i="8"/>
  <c r="C8" i="8" s="1"/>
  <c r="P93" i="8"/>
  <c r="P92" i="8"/>
  <c r="O97" i="8"/>
  <c r="P90" i="8"/>
  <c r="O100" i="8" l="1"/>
  <c r="O101" i="8"/>
  <c r="O98" i="8"/>
  <c r="P100" i="8"/>
  <c r="P98" i="8"/>
  <c r="P101" i="8"/>
  <c r="J5" i="9" s="1"/>
  <c r="G79" i="8"/>
  <c r="G73" i="8"/>
  <c r="E82" i="8"/>
  <c r="F82" i="8"/>
  <c r="D82" i="8"/>
  <c r="G70" i="8"/>
  <c r="G78" i="8"/>
  <c r="G80" i="8"/>
  <c r="G81" i="8"/>
  <c r="E74" i="8"/>
  <c r="F74" i="8"/>
  <c r="D74" i="8"/>
  <c r="G77" i="8"/>
  <c r="G69" i="8"/>
  <c r="G72" i="8"/>
  <c r="H10" i="12"/>
  <c r="G82" i="8" l="1"/>
  <c r="G74" i="8"/>
  <c r="J8" i="9" s="1"/>
  <c r="E10" i="12" s="1"/>
  <c r="H7" i="12" l="1"/>
  <c r="H8" i="12"/>
  <c r="H9" i="12"/>
  <c r="H12" i="12" l="1"/>
  <c r="H18" i="12" l="1"/>
  <c r="F61" i="8" l="1"/>
  <c r="F54" i="8"/>
  <c r="F55" i="8"/>
  <c r="F56" i="8"/>
  <c r="F57" i="8"/>
  <c r="F58" i="8"/>
  <c r="F53" i="8"/>
  <c r="D59" i="8"/>
  <c r="E59" i="8"/>
  <c r="C59" i="8"/>
  <c r="D55" i="11"/>
  <c r="E55" i="11"/>
  <c r="F55" i="11"/>
  <c r="D56" i="11"/>
  <c r="E56" i="11"/>
  <c r="F56" i="11"/>
  <c r="F59" i="8" l="1"/>
  <c r="F62" i="8" s="1"/>
  <c r="G56" i="11"/>
  <c r="G55" i="11"/>
  <c r="J7" i="9" l="1"/>
  <c r="E9" i="12" s="1"/>
  <c r="J6" i="9"/>
  <c r="E8" i="12" s="1"/>
  <c r="E7" i="12"/>
  <c r="K9" i="2" l="1"/>
  <c r="K8" i="9" s="1"/>
  <c r="D10" i="12" s="1"/>
  <c r="K8" i="2"/>
  <c r="K7" i="9" s="1"/>
  <c r="D9" i="12" s="1"/>
  <c r="E9" i="2"/>
  <c r="D8" i="9" s="1"/>
  <c r="F9" i="2"/>
  <c r="E8" i="9" s="1"/>
  <c r="F8" i="2"/>
  <c r="E7" i="9" s="1"/>
  <c r="E8" i="2"/>
  <c r="D7" i="9" s="1"/>
  <c r="D9" i="2"/>
  <c r="D8" i="2"/>
  <c r="C7" i="9" s="1"/>
  <c r="K7" i="2"/>
  <c r="K6" i="9" s="1"/>
  <c r="D8" i="12" s="1"/>
  <c r="F7" i="2"/>
  <c r="E6" i="9" s="1"/>
  <c r="E7" i="2"/>
  <c r="D6" i="9" s="1"/>
  <c r="D7" i="2"/>
  <c r="C6" i="9" s="1"/>
  <c r="K6" i="2"/>
  <c r="K5" i="2"/>
  <c r="D6" i="2"/>
  <c r="E6" i="2"/>
  <c r="F6" i="2"/>
  <c r="F5" i="2"/>
  <c r="E5" i="2"/>
  <c r="D5" i="2"/>
  <c r="C8" i="9" l="1"/>
  <c r="F8" i="9" s="1"/>
  <c r="G8" i="9" s="1"/>
  <c r="G9" i="2"/>
  <c r="H9" i="2" s="1"/>
  <c r="G6" i="2"/>
  <c r="H6" i="2" s="1"/>
  <c r="F6" i="9"/>
  <c r="G6" i="9" s="1"/>
  <c r="E5" i="9"/>
  <c r="C5" i="9"/>
  <c r="F7" i="9"/>
  <c r="G7" i="9" s="1"/>
  <c r="G8" i="2"/>
  <c r="H8" i="2" s="1"/>
  <c r="G7" i="2"/>
  <c r="H7" i="2" s="1"/>
  <c r="D5" i="9"/>
  <c r="K5" i="9"/>
  <c r="D7" i="12" s="1"/>
  <c r="G5" i="2"/>
  <c r="H5" i="2" s="1"/>
  <c r="F5" i="9" l="1"/>
  <c r="G5" i="9" s="1"/>
  <c r="K71" i="3"/>
  <c r="G71" i="3"/>
  <c r="I71" i="3"/>
  <c r="E71" i="3"/>
  <c r="K65" i="3"/>
  <c r="G65" i="3"/>
  <c r="E65" i="3"/>
  <c r="I65" i="3"/>
  <c r="K60" i="3"/>
  <c r="G60" i="3"/>
  <c r="E60" i="3"/>
  <c r="I60" i="3"/>
  <c r="I55" i="3"/>
  <c r="E55" i="3"/>
  <c r="A54" i="3"/>
  <c r="K53" i="3"/>
  <c r="I53" i="3"/>
  <c r="E53" i="3"/>
  <c r="A53" i="3"/>
  <c r="G56" i="3"/>
  <c r="K46" i="3"/>
  <c r="I43" i="3"/>
  <c r="I46" i="3" s="1"/>
  <c r="G43" i="3"/>
  <c r="E43" i="3"/>
  <c r="K24" i="3"/>
  <c r="I24" i="3"/>
  <c r="G24" i="3"/>
  <c r="E24" i="3"/>
  <c r="C24" i="3"/>
  <c r="I15" i="3"/>
  <c r="G15" i="3"/>
  <c r="E15" i="3"/>
  <c r="C15" i="3"/>
  <c r="K15" i="3"/>
  <c r="K11" i="3"/>
  <c r="I11" i="3"/>
  <c r="G11" i="3"/>
  <c r="E11" i="3"/>
  <c r="C11" i="3"/>
  <c r="E56" i="3" l="1"/>
  <c r="I56" i="3"/>
  <c r="I73" i="3" s="1"/>
  <c r="D10" i="2"/>
  <c r="G27" i="3"/>
  <c r="I27" i="3"/>
  <c r="E27" i="3"/>
  <c r="C27" i="3"/>
  <c r="K27" i="3"/>
  <c r="E46" i="3"/>
  <c r="G46" i="3"/>
  <c r="G73" i="3" s="1"/>
  <c r="K55" i="3"/>
  <c r="K56" i="3" s="1"/>
  <c r="K73" i="3" s="1"/>
  <c r="E73" i="3" l="1"/>
  <c r="I7" i="1"/>
  <c r="B2" i="1" l="1"/>
  <c r="I9" i="2" s="1"/>
  <c r="J9" i="2" l="1"/>
  <c r="L9" i="2" s="1"/>
  <c r="H8" i="9"/>
  <c r="I8" i="9" s="1"/>
  <c r="I7" i="2"/>
  <c r="J7" i="2" s="1"/>
  <c r="L7" i="2" s="1"/>
  <c r="I6" i="2"/>
  <c r="J6" i="2" s="1"/>
  <c r="L6" i="2" s="1"/>
  <c r="I5" i="2"/>
  <c r="J5" i="2" s="1"/>
  <c r="L5" i="2" s="1"/>
  <c r="I8" i="2"/>
  <c r="H7" i="9" s="1"/>
  <c r="I7" i="9" s="1"/>
  <c r="C10" i="12" l="1"/>
  <c r="F10" i="12" s="1"/>
  <c r="I10" i="12" s="1"/>
  <c r="C9" i="12"/>
  <c r="F9" i="12" s="1"/>
  <c r="I9" i="12" s="1"/>
  <c r="H6" i="9"/>
  <c r="I6" i="9" s="1"/>
  <c r="H5" i="9"/>
  <c r="I5" i="9" s="1"/>
  <c r="J8" i="2"/>
  <c r="L8" i="2" s="1"/>
  <c r="C7" i="12" l="1"/>
  <c r="F7" i="12" s="1"/>
  <c r="C8" i="12"/>
  <c r="F8" i="12" s="1"/>
  <c r="I8" i="12" s="1"/>
  <c r="F12" i="12" l="1"/>
  <c r="C9" i="20" s="1"/>
  <c r="I7" i="12"/>
  <c r="F18" i="12" l="1"/>
  <c r="I12" i="12"/>
  <c r="E9" i="20" s="1"/>
  <c r="I18" i="12" l="1"/>
  <c r="E13" i="20" s="1"/>
  <c r="C13" i="20"/>
</calcChain>
</file>

<file path=xl/sharedStrings.xml><?xml version="1.0" encoding="utf-8"?>
<sst xmlns="http://schemas.openxmlformats.org/spreadsheetml/2006/main" count="573" uniqueCount="225">
  <si>
    <t>Cause No. 46217</t>
  </si>
  <si>
    <t>Indiana Michigan Power Company</t>
  </si>
  <si>
    <t xml:space="preserve">Workpaper WP AJW-3 </t>
  </si>
  <si>
    <t>Indiana Michigan Power</t>
  </si>
  <si>
    <t>Oregon CPCN</t>
  </si>
  <si>
    <t>Figure AJW-5</t>
  </si>
  <si>
    <t>Total Generation Fixed Costs ($)</t>
  </si>
  <si>
    <t>Net Maximum Capacity (MW)</t>
  </si>
  <si>
    <t>Fixed Costs ($/MW-day)</t>
  </si>
  <si>
    <t>I&amp;M 2023 Non-Fuel Power Supply Cost</t>
  </si>
  <si>
    <r>
      <t>Oregon Annualized Year 1 Revenue Requirement</t>
    </r>
    <r>
      <rPr>
        <b/>
        <vertAlign val="superscript"/>
        <sz val="11"/>
        <color theme="1"/>
        <rFont val="Calibri"/>
        <family val="2"/>
      </rPr>
      <t>1</t>
    </r>
  </si>
  <si>
    <t>Updated I&amp;M Average Power Supply Cost</t>
  </si>
  <si>
    <t>Fixed Costs</t>
  </si>
  <si>
    <t>Opco</t>
  </si>
  <si>
    <t>Generation Type</t>
  </si>
  <si>
    <t>Return on Rate Base</t>
  </si>
  <si>
    <t>Depreciation</t>
  </si>
  <si>
    <t>Fixed O&amp;M 
(3-Yr Avg.)</t>
  </si>
  <si>
    <t>Total Fixed Costs</t>
  </si>
  <si>
    <t>Net Maximum Capacity</t>
  </si>
  <si>
    <t>I&amp;M</t>
  </si>
  <si>
    <t>Coal</t>
  </si>
  <si>
    <t>Nuclear</t>
  </si>
  <si>
    <t>Hydro</t>
  </si>
  <si>
    <t>Solar</t>
  </si>
  <si>
    <t>Totals</t>
  </si>
  <si>
    <t>Oregon Annualized Year 1 Rev Req</t>
  </si>
  <si>
    <t>New Total I&amp;M</t>
  </si>
  <si>
    <t>Less:</t>
  </si>
  <si>
    <t>3-Year Average</t>
  </si>
  <si>
    <t>Total of NBV Inventory &amp; CWIP</t>
  </si>
  <si>
    <t>ARO</t>
  </si>
  <si>
    <t>Cost of Removal</t>
  </si>
  <si>
    <t>Assets less ARO, COR</t>
  </si>
  <si>
    <t>Total Rate Base</t>
  </si>
  <si>
    <t>Rate of Return</t>
  </si>
  <si>
    <t>Annual Return on Rate Base</t>
  </si>
  <si>
    <t>Fixed O&amp;M</t>
  </si>
  <si>
    <t>Source</t>
  </si>
  <si>
    <t>Notes</t>
  </si>
  <si>
    <t>Net Book Value of Utility Plant</t>
  </si>
  <si>
    <t>Power Plant System/Books and Records</t>
  </si>
  <si>
    <t>NBV includes composite total/Co accumulated depreciation</t>
  </si>
  <si>
    <t>Annual Depreciation</t>
  </si>
  <si>
    <t>Uses total company composite rates</t>
  </si>
  <si>
    <t>O&amp;M</t>
  </si>
  <si>
    <t>FERC Form 1</t>
  </si>
  <si>
    <t>MWh of Generation</t>
  </si>
  <si>
    <t>FERC Form 1 &amp; Internal System of Record</t>
  </si>
  <si>
    <t>The thermal gen is sourced from the FF1, the solar and hydro info is from LASOR (internal system of record)</t>
  </si>
  <si>
    <t xml:space="preserve">Capacity </t>
  </si>
  <si>
    <t>GADS</t>
  </si>
  <si>
    <t>WACC</t>
  </si>
  <si>
    <t xml:space="preserve"> Indiana Case 45593</t>
  </si>
  <si>
    <t>Coal Units - December 2023</t>
  </si>
  <si>
    <t>Net Max Cap</t>
  </si>
  <si>
    <t>Rockport</t>
  </si>
  <si>
    <t>Berrien Springs</t>
  </si>
  <si>
    <t>Buchanan</t>
  </si>
  <si>
    <t>Constantine</t>
  </si>
  <si>
    <t>Elkhart</t>
  </si>
  <si>
    <t>Mottville</t>
  </si>
  <si>
    <t>Twin Branch</t>
  </si>
  <si>
    <t>Cook</t>
  </si>
  <si>
    <t>Deer Creek</t>
  </si>
  <si>
    <t>Olive</t>
  </si>
  <si>
    <t>Watervliet</t>
  </si>
  <si>
    <t>St. Joseph</t>
  </si>
  <si>
    <t>Plant</t>
  </si>
  <si>
    <t>Total Cost of Service</t>
  </si>
  <si>
    <t>Rockport 1</t>
  </si>
  <si>
    <t>Rockport 1 AEG</t>
  </si>
  <si>
    <t>I&amp;M Hydro Units</t>
  </si>
  <si>
    <t>I&amp;M Solar Facilities</t>
  </si>
  <si>
    <t xml:space="preserve">Operating Companies 3 Year Average </t>
  </si>
  <si>
    <t>O&amp;M Cost and Generation</t>
  </si>
  <si>
    <t>Fuel</t>
  </si>
  <si>
    <t>Consumables</t>
  </si>
  <si>
    <t>Allowances</t>
  </si>
  <si>
    <t>All Other</t>
  </si>
  <si>
    <t>Net Generation (kWh)</t>
  </si>
  <si>
    <t>Gas</t>
  </si>
  <si>
    <t xml:space="preserve"> </t>
  </si>
  <si>
    <t>Other Generation</t>
  </si>
  <si>
    <t>Information sourced from the FERC Form 1 data 2021-2023</t>
  </si>
  <si>
    <t>I&amp;M Hydro O&amp;M</t>
  </si>
  <si>
    <t>Avg</t>
  </si>
  <si>
    <t>Todd's Avg</t>
  </si>
  <si>
    <t>Difference</t>
  </si>
  <si>
    <t>I&amp;M Solar Facilities (Data from S&amp;P Capital)</t>
  </si>
  <si>
    <t>3-Yr Avg</t>
  </si>
  <si>
    <t>Total O&amp;M</t>
  </si>
  <si>
    <t>Total</t>
  </si>
  <si>
    <t>Net Generation (MWh)</t>
  </si>
  <si>
    <t>Rockport Plant Data from FERC Form 1</t>
  </si>
  <si>
    <t>w/ Lease</t>
  </si>
  <si>
    <t>w/o Lease</t>
  </si>
  <si>
    <t>Unit 1</t>
  </si>
  <si>
    <t>Unit 2</t>
  </si>
  <si>
    <t>Production Operation, Supervision &amp; Engineering</t>
  </si>
  <si>
    <t>Steam Expenses</t>
  </si>
  <si>
    <t>Electric Expenses</t>
  </si>
  <si>
    <t>Misc. Steam Expenses</t>
  </si>
  <si>
    <t>Rents</t>
  </si>
  <si>
    <t>Maint. Supervision and Engineering</t>
  </si>
  <si>
    <t>Maintenance of Structures</t>
  </si>
  <si>
    <t>Maintenance of Boiler Plant</t>
  </si>
  <si>
    <t>Maintenance of Electric Plant</t>
  </si>
  <si>
    <t>Maintenance of Misc. Steam</t>
  </si>
  <si>
    <t>Variable O&amp;M</t>
  </si>
  <si>
    <t>ROR</t>
  </si>
  <si>
    <t>Authorized Returns by Jurisdiction</t>
  </si>
  <si>
    <t>Juris Ratio</t>
  </si>
  <si>
    <t>Wtd Juris</t>
  </si>
  <si>
    <t>Auth. ROE</t>
  </si>
  <si>
    <t>% Debt</t>
  </si>
  <si>
    <t>% Equity</t>
  </si>
  <si>
    <t>IN</t>
  </si>
  <si>
    <t>I&amp;M:  Used most recent base case, Indiana Case 45593</t>
  </si>
  <si>
    <t xml:space="preserve"> Total NBV of Generating Units By Fuel Type</t>
  </si>
  <si>
    <t>March 31, 2024</t>
  </si>
  <si>
    <t>GENERATING PLANT</t>
  </si>
  <si>
    <t>Unit Designation</t>
  </si>
  <si>
    <t xml:space="preserve">MW             </t>
  </si>
  <si>
    <t xml:space="preserve">Projected Retirement Date </t>
  </si>
  <si>
    <t xml:space="preserve">Cost of Removal </t>
  </si>
  <si>
    <t xml:space="preserve">ARO Liability Asbestos &amp; Ash Ponds </t>
  </si>
  <si>
    <t>Annual Deprciation Expense</t>
  </si>
  <si>
    <t>Coal/Lignite</t>
  </si>
  <si>
    <t>Rockport Generating Plant  (I&amp;M) (1)</t>
  </si>
  <si>
    <t>Rockport Generating Plant (I&amp;M)</t>
  </si>
  <si>
    <t>AEG Contract Rockport (I&amp;M)</t>
  </si>
  <si>
    <t xml:space="preserve"> Total Coal/Lignite</t>
  </si>
  <si>
    <t>Cook Nuclear (I&amp;M)</t>
  </si>
  <si>
    <t>1 &amp; 2</t>
  </si>
  <si>
    <t>2034/2037</t>
  </si>
  <si>
    <t xml:space="preserve"> Total Nuclear</t>
  </si>
  <si>
    <t xml:space="preserve"> Total Gas</t>
  </si>
  <si>
    <t>Renewable</t>
  </si>
  <si>
    <t>Various</t>
  </si>
  <si>
    <t xml:space="preserve"> Total Renewable</t>
  </si>
  <si>
    <t xml:space="preserve">Total </t>
  </si>
  <si>
    <t>(1) Rockport Unit 1 includes the NBV and Cost of Removal related to Tanner's Creek, which retired in May 2015 and was sold in October 2016.  The remaining value of Tanner's Creek will be recovered over the life of Rockport Unit 1.  The ARO liability is for Rockport Unit 1 only.</t>
  </si>
  <si>
    <t>(2) KPCO's unit power sales agreement with AEG and Rockport expired in December 2022.  This report no longer shows any values assigned to KPCO related to AEG Rockport.  Those values are now part of I&amp;M's share of AEG Rockport.</t>
  </si>
  <si>
    <t>Retired Coal Plants</t>
  </si>
  <si>
    <t>AGR Retired</t>
  </si>
  <si>
    <t>Philip Sporn Generating Plant</t>
  </si>
  <si>
    <t>-</t>
  </si>
  <si>
    <t>Conesville Generating Plant</t>
  </si>
  <si>
    <t>Conner Run Ash Disposal (1)</t>
  </si>
  <si>
    <t>Stingy Run Fly Ash Pond (2)</t>
  </si>
  <si>
    <t xml:space="preserve"> Total AGR</t>
  </si>
  <si>
    <t>APCo Retired (3)</t>
  </si>
  <si>
    <t>Clinch River Generating Plant</t>
  </si>
  <si>
    <t>Glen Lyn Generating Plant</t>
  </si>
  <si>
    <t xml:space="preserve">Kanawha River Generating Plant </t>
  </si>
  <si>
    <t xml:space="preserve"> Total APCo</t>
  </si>
  <si>
    <t>KPCo</t>
  </si>
  <si>
    <t>Big Sandy Generating Plant</t>
  </si>
  <si>
    <t xml:space="preserve"> Total KPCo</t>
  </si>
  <si>
    <t>PSO Retired (4)</t>
  </si>
  <si>
    <t>Northeastern Generating Plant</t>
  </si>
  <si>
    <t>Oklaunion Generating Plant</t>
  </si>
  <si>
    <t xml:space="preserve"> Total PSO</t>
  </si>
  <si>
    <t>SWEPCO Retired (5)</t>
  </si>
  <si>
    <t>Welsh Generating Plant</t>
  </si>
  <si>
    <t>Dolet Hills (SWEPCo)</t>
  </si>
  <si>
    <t>Pirkey Generating Plant (SWEPCo)</t>
  </si>
  <si>
    <t>Lonestar Generating Plant</t>
  </si>
  <si>
    <t xml:space="preserve"> Total SWEPCO</t>
  </si>
  <si>
    <t xml:space="preserve">      Total Retired</t>
  </si>
  <si>
    <t>(1) AGR transferred its 50% share of Mitchell Plant to Wheeling Power in February 2015.  The Conner Run Ash Disposal site was not included in the transfer and as a result the ARO Liability remains with AGR.</t>
  </si>
  <si>
    <t>(2) AGR sold the Gavin Plant in January 2017.  The Stingy Run Fly Ash Pond was not part of the sale of Gavin and as a result the ARO Liability remains with AGR.</t>
  </si>
  <si>
    <t>(3) The NBV and Cost of Removal shown here represent the VA and FERC portion of the remaining value of each plant retired by APCo.  The recovery of the remaining value of these plants will be determined in future rate proceedings.  The ARO Liability amount shown represents the full amount for each plant.</t>
  </si>
  <si>
    <t>(4) Northeastern Unit 4 - Unrecovered balance in account 1823558; Oklaunion - Unrecovered balance recorded to account 1823649</t>
  </si>
  <si>
    <t>(5) Welsh Unit 2 - Unrecovered balance in accounts 1080155 (LA/FERC), 1823428 (TX), and 1080160 (AR); Dolet Hills - Unrecovered balance in accounts 1080161 (FERC), 1823658/9 (TX), 1823700/1 (AR), and 1823717 (LA); Pirkey - Unrecovered balance in account 1080163 (TX/FERC), 1823718 (LA) and 1823719 (AR); Lonestar - Unrecovered balance in account 108 after sale of plant.</t>
  </si>
  <si>
    <t>Generation LASOR Summary Report</t>
  </si>
  <si>
    <r>
      <rPr>
        <sz val="8"/>
        <color rgb="FF808080"/>
        <rFont val="Andale WT"/>
        <family val="2"/>
      </rPr>
      <t xml:space="preserve">Refresh Date: </t>
    </r>
    <r>
      <rPr>
        <sz val="8"/>
        <color rgb="FF808080"/>
        <rFont val="Andale WT"/>
        <family val="2"/>
      </rPr>
      <t>06/13/2024</t>
    </r>
    <r>
      <rPr>
        <sz val="10"/>
        <color rgb="FF222222"/>
        <rFont val="Andale WT"/>
        <family val="2"/>
      </rPr>
      <t xml:space="preserve"> </t>
    </r>
    <r>
      <rPr>
        <sz val="8"/>
        <color rgb="FF808080"/>
        <rFont val="Andale WT"/>
        <family val="2"/>
      </rPr>
      <t>9:44 AM</t>
    </r>
  </si>
  <si>
    <r>
      <rPr>
        <sz val="10"/>
        <color rgb="FF808080"/>
        <rFont val="Andale WT"/>
        <family val="2"/>
      </rPr>
      <t xml:space="preserve">Start Date: </t>
    </r>
    <r>
      <rPr>
        <sz val="10"/>
        <color rgb="FF808080"/>
        <rFont val="Andale WT"/>
        <family val="2"/>
      </rPr>
      <t>Jan 1, 2023</t>
    </r>
  </si>
  <si>
    <r>
      <rPr>
        <sz val="10"/>
        <color rgb="FF808080"/>
        <rFont val="Andale WT"/>
        <family val="2"/>
      </rPr>
      <t xml:space="preserve">End Date: </t>
    </r>
    <r>
      <rPr>
        <sz val="10"/>
        <color rgb="FF808080"/>
        <rFont val="Andale WT"/>
        <family val="2"/>
      </rPr>
      <t>Dec 31, 2023</t>
    </r>
  </si>
  <si>
    <t>INDIANA MICHIGAN POWER (IM)</t>
  </si>
  <si>
    <t>Generation Unit Name</t>
  </si>
  <si>
    <t>LASOR Point ID</t>
  </si>
  <si>
    <t>Unit Category</t>
  </si>
  <si>
    <t>Gross MWH</t>
  </si>
  <si>
    <t xml:space="preserve"> Aux MWH</t>
  </si>
  <si>
    <t>OFCL Net MWH</t>
  </si>
  <si>
    <t>*** Best Ava.  Net MWH</t>
  </si>
  <si>
    <t>Delta  Net MWH</t>
  </si>
  <si>
    <t>Net Peak MWH</t>
  </si>
  <si>
    <t>BERRIENSPRINGS1</t>
  </si>
  <si>
    <t>HYDRO</t>
  </si>
  <si>
    <t>CONVENL</t>
  </si>
  <si>
    <t>BUCHANAN 1</t>
  </si>
  <si>
    <t>CONSTANTINE 1</t>
  </si>
  <si>
    <t>COOK    1</t>
  </si>
  <si>
    <t>STEAM</t>
  </si>
  <si>
    <t>URANIUM</t>
  </si>
  <si>
    <t>COOK    2</t>
  </si>
  <si>
    <t>DEER CREEK SOLAR</t>
  </si>
  <si>
    <t>SOLAR</t>
  </si>
  <si>
    <t>ELKHART 1</t>
  </si>
  <si>
    <t>MOTTVILLE 1</t>
  </si>
  <si>
    <t>OLIVE SOLAR</t>
  </si>
  <si>
    <t>ROCKPORT 1 AEG IM SHARE</t>
  </si>
  <si>
    <t>COAL</t>
  </si>
  <si>
    <t>ROCKPORT 1 IM SHARE</t>
  </si>
  <si>
    <t>ROCKPORT 1 TOTAL</t>
  </si>
  <si>
    <t>ROCKPORT 2 TOTAL</t>
  </si>
  <si>
    <t>ST JOSEPH SOLAR</t>
  </si>
  <si>
    <t>TWIN BRANCH 1</t>
  </si>
  <si>
    <t>TWIN BRANCH SOLAR</t>
  </si>
  <si>
    <t>WATERVLIET SOLAR</t>
  </si>
  <si>
    <r>
      <rPr>
        <sz val="8"/>
        <color rgb="FF808080"/>
        <rFont val="Andale WT"/>
        <family val="2"/>
      </rPr>
      <t xml:space="preserve">Package Name: </t>
    </r>
    <r>
      <rPr>
        <sz val="8"/>
        <color rgb="FF808080"/>
        <rFont val="Andale WT"/>
        <family val="2"/>
      </rPr>
      <t>Lasor</t>
    </r>
  </si>
  <si>
    <t>AEP Internal</t>
  </si>
  <si>
    <r>
      <rPr>
        <sz val="8"/>
        <color rgb="FF808080"/>
        <rFont val="Andale WT"/>
        <family val="2"/>
      </rPr>
      <t xml:space="preserve">Page </t>
    </r>
    <r>
      <rPr>
        <sz val="8"/>
        <color rgb="FF808080"/>
        <rFont val="Andale WT"/>
        <family val="2"/>
      </rPr>
      <t>1</t>
    </r>
    <r>
      <rPr>
        <sz val="8"/>
        <color rgb="FF808080"/>
        <rFont val="Andale WT"/>
        <family val="2"/>
      </rPr>
      <t xml:space="preserve"> of </t>
    </r>
    <r>
      <rPr>
        <sz val="8"/>
        <color rgb="FF808080"/>
        <rFont val="Andale WT"/>
        <family val="2"/>
      </rPr>
      <t>1</t>
    </r>
  </si>
  <si>
    <r>
      <rPr>
        <sz val="8"/>
        <color rgb="FF808080"/>
        <rFont val="Andale WT"/>
        <family val="2"/>
      </rPr>
      <t xml:space="preserve">Report Name: </t>
    </r>
    <r>
      <rPr>
        <sz val="8"/>
        <color rgb="FF808080"/>
        <rFont val="Andale WT"/>
        <family val="2"/>
      </rPr>
      <t>Generation LASOR Summary Report</t>
    </r>
  </si>
  <si>
    <r>
      <rPr>
        <sz val="8"/>
        <color rgb="FF808080"/>
        <rFont val="Andale WT"/>
        <family val="2"/>
      </rPr>
      <t xml:space="preserve">Refresh Date: </t>
    </r>
    <r>
      <rPr>
        <sz val="8"/>
        <color rgb="FF808080"/>
        <rFont val="Andale WT"/>
        <family val="2"/>
      </rPr>
      <t>06/13/2024</t>
    </r>
    <r>
      <rPr>
        <sz val="10"/>
        <color rgb="FF222222"/>
        <rFont val="Andale WT"/>
        <family val="2"/>
      </rPr>
      <t xml:space="preserve"> </t>
    </r>
    <r>
      <rPr>
        <sz val="8"/>
        <color rgb="FF808080"/>
        <rFont val="Andale WT"/>
        <family val="2"/>
      </rPr>
      <t>9:47 AM</t>
    </r>
  </si>
  <si>
    <r>
      <rPr>
        <sz val="10"/>
        <color rgb="FF808080"/>
        <rFont val="Andale WT"/>
        <family val="2"/>
      </rPr>
      <t xml:space="preserve">Start Date: </t>
    </r>
    <r>
      <rPr>
        <sz val="10"/>
        <color rgb="FF808080"/>
        <rFont val="Andale WT"/>
        <family val="2"/>
      </rPr>
      <t>Jan 1, 2022</t>
    </r>
  </si>
  <si>
    <r>
      <rPr>
        <sz val="10"/>
        <color rgb="FF808080"/>
        <rFont val="Andale WT"/>
        <family val="2"/>
      </rPr>
      <t xml:space="preserve">End Date: </t>
    </r>
    <r>
      <rPr>
        <sz val="10"/>
        <color rgb="FF808080"/>
        <rFont val="Andale WT"/>
        <family val="2"/>
      </rPr>
      <t>Dec 31, 2022</t>
    </r>
  </si>
  <si>
    <t>ROCKPORT 2 AEG IM SHARE</t>
  </si>
  <si>
    <t>ROCKPORT 2 IM SHARE</t>
  </si>
  <si>
    <r>
      <rPr>
        <sz val="8"/>
        <color rgb="FF808080"/>
        <rFont val="Andale WT"/>
        <family val="2"/>
      </rPr>
      <t xml:space="preserve">Refresh Date: </t>
    </r>
    <r>
      <rPr>
        <sz val="8"/>
        <color rgb="FF808080"/>
        <rFont val="Andale WT"/>
        <family val="2"/>
      </rPr>
      <t>06/13/2024</t>
    </r>
    <r>
      <rPr>
        <sz val="10"/>
        <color rgb="FF222222"/>
        <rFont val="Andale WT"/>
        <family val="2"/>
      </rPr>
      <t xml:space="preserve"> </t>
    </r>
    <r>
      <rPr>
        <sz val="8"/>
        <color rgb="FF808080"/>
        <rFont val="Andale WT"/>
        <family val="2"/>
      </rPr>
      <t>9:49 AM</t>
    </r>
  </si>
  <si>
    <r>
      <rPr>
        <sz val="10"/>
        <color rgb="FF808080"/>
        <rFont val="Andale WT"/>
        <family val="2"/>
      </rPr>
      <t xml:space="preserve">Start Date: </t>
    </r>
    <r>
      <rPr>
        <sz val="10"/>
        <color rgb="FF808080"/>
        <rFont val="Andale WT"/>
        <family val="2"/>
      </rPr>
      <t>Jan 1, 2021</t>
    </r>
  </si>
  <si>
    <r>
      <rPr>
        <sz val="10"/>
        <color rgb="FF808080"/>
        <rFont val="Andale WT"/>
        <family val="2"/>
      </rPr>
      <t xml:space="preserve">End Date: </t>
    </r>
    <r>
      <rPr>
        <sz val="10"/>
        <color rgb="FF808080"/>
        <rFont val="Andale WT"/>
        <family val="2"/>
      </rPr>
      <t>Dec 31,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</si>
</sst>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 numFmtId="167" formatCode="&quot;$&quot;#,##0.00"/>
    <numFmt numFmtId="168" formatCode="#,##0.###"/>
    <numFmt numFmtId="169" formatCode="#0"/>
    <numFmt numFmtId="170" formatCode="#,##0.0"/>
    <numFmt numFmtId="171" formatCode="#,##0;[Red]\(#,##0\)"/>
    <numFmt numFmtId="172" formatCode="#,##0;[Red]\-#,##0"/>
  </numFmts>
  <fonts count="25">
    <font>
      <sz val="11"/>
      <color theme="1"/>
      <name val="Calibri"/>
      <family val="2"/>
      <scheme val="minor"/>
    </font>
    <font>
      <sz val="10"/>
      <name val="Arial"/>
      <family val="2"/>
    </font>
    <font>
      <b/>
      <sz val="12"/>
      <name val="Arial"/>
      <family val="2"/>
    </font>
    <font>
      <b/>
      <sz val="10"/>
      <name val="Arial"/>
      <family val="2"/>
    </font>
    <font>
      <sz val="10"/>
      <color theme="1"/>
      <name val="Arial"/>
      <family val="2"/>
    </font>
    <font>
      <b/>
      <u/>
      <sz val="10"/>
      <name val="Arial"/>
      <family val="2"/>
    </font>
    <font>
      <sz val="10"/>
      <color indexed="10"/>
      <name val="Arial"/>
      <family val="2"/>
    </font>
    <font>
      <sz val="11"/>
      <color theme="1"/>
      <name val="Calibri"/>
      <family val="2"/>
    </font>
    <font>
      <sz val="11"/>
      <color rgb="FF000000"/>
      <name val="Calibri"/>
      <family val="2"/>
    </font>
    <font>
      <sz val="11"/>
      <color theme="1"/>
      <name val="Calibri"/>
      <family val="2"/>
      <scheme val="minor"/>
    </font>
    <font>
      <b/>
      <sz val="11"/>
      <color theme="1"/>
      <name val="Calibri"/>
      <family val="2"/>
      <scheme val="minor"/>
    </font>
    <font>
      <sz val="10"/>
      <color theme="1"/>
      <name val="Tahoma"/>
      <family val="2"/>
    </font>
    <font>
      <sz val="8"/>
      <color rgb="FF808080"/>
      <name val="Andale WT"/>
      <family val="2"/>
    </font>
    <font>
      <sz val="10"/>
      <color rgb="FF222222"/>
      <name val="Andale WT"/>
      <family val="2"/>
    </font>
    <font>
      <b/>
      <sz val="10"/>
      <color rgb="FFFFFFFF"/>
      <name val="Andale WT"/>
      <family val="2"/>
    </font>
    <font>
      <b/>
      <sz val="10"/>
      <color rgb="FF222222"/>
      <name val="Andale WT"/>
      <family val="2"/>
    </font>
    <font>
      <sz val="10"/>
      <color rgb="FF808080"/>
      <name val="Andale WT"/>
      <family val="2"/>
    </font>
    <font>
      <b/>
      <sz val="12"/>
      <color rgb="FF222222"/>
      <name val="Andale WT"/>
      <family val="2"/>
    </font>
    <font>
      <b/>
      <u/>
      <sz val="10"/>
      <color theme="1"/>
      <name val="Tahoma"/>
      <family val="2"/>
    </font>
    <font>
      <b/>
      <i/>
      <sz val="11"/>
      <color theme="1"/>
      <name val="Calibri"/>
      <family val="2"/>
      <scheme val="minor"/>
    </font>
    <font>
      <sz val="11"/>
      <name val="Calibri"/>
      <family val="2"/>
      <scheme val="minor"/>
    </font>
    <font>
      <sz val="10"/>
      <color theme="1"/>
      <name val="Times New Roman"/>
      <family val="1"/>
    </font>
    <font>
      <b/>
      <sz val="11"/>
      <color rgb="FF000000"/>
      <name val="Calibri"/>
      <family val="2"/>
    </font>
    <font>
      <b/>
      <sz val="11"/>
      <color theme="1"/>
      <name val="Calibri"/>
      <family val="2"/>
    </font>
    <font>
      <b/>
      <vertAlign val="superscript"/>
      <sz val="11"/>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BDBF"/>
        <bgColor indexed="64"/>
      </patternFill>
    </fill>
    <fill>
      <patternFill patternType="solid">
        <fgColor rgb="FF666699"/>
      </patternFill>
    </fill>
  </fills>
  <borders count="2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E2E2E2"/>
      </left>
      <right style="medium">
        <color rgb="FFE2E2E2"/>
      </right>
      <top/>
      <bottom style="medium">
        <color rgb="FFE2E2E2"/>
      </bottom>
      <diagonal/>
    </border>
    <border>
      <left style="medium">
        <color rgb="FFE2E2E2"/>
      </left>
      <right style="medium">
        <color rgb="FFE2E2E2"/>
      </right>
      <top style="medium">
        <color rgb="FFE2E2E2"/>
      </top>
      <bottom style="medium">
        <color rgb="FFE2E2E2"/>
      </bottom>
      <diagonal/>
    </border>
    <border>
      <left style="medium">
        <color rgb="FFC0C0C0"/>
      </left>
      <right style="medium">
        <color rgb="FFC0C0C0"/>
      </right>
      <top style="medium">
        <color rgb="FFC0C0C0"/>
      </top>
      <bottom/>
      <diagonal/>
    </border>
    <border>
      <left/>
      <right/>
      <top style="medium">
        <color rgb="FFFFFFFF"/>
      </top>
      <bottom/>
      <diagonal/>
    </border>
    <border>
      <left style="medium">
        <color rgb="FFC0C0C0"/>
      </left>
      <right style="medium">
        <color rgb="FFC0C0C0"/>
      </right>
      <top/>
      <bottom/>
      <diagonal/>
    </border>
    <border>
      <left/>
      <right/>
      <top/>
      <bottom style="medium">
        <color rgb="FF666666"/>
      </bottom>
      <diagonal/>
    </border>
    <border>
      <left/>
      <right/>
      <top style="thin">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0" fontId="11" fillId="0" borderId="0"/>
    <xf numFmtId="43" fontId="9" fillId="0" borderId="0" applyFont="0" applyFill="0" applyBorder="0" applyAlignment="0" applyProtection="0"/>
  </cellStyleXfs>
  <cellXfs count="158">
    <xf numFmtId="0" fontId="0" fillId="0" borderId="0" xfId="0"/>
    <xf numFmtId="10" fontId="0" fillId="0" borderId="0" xfId="0" applyNumberFormat="1"/>
    <xf numFmtId="0" fontId="0" fillId="0" borderId="0" xfId="0" applyAlignment="1">
      <alignment horizontal="center"/>
    </xf>
    <xf numFmtId="10" fontId="0" fillId="0" borderId="0" xfId="0" applyNumberFormat="1" applyAlignment="1">
      <alignment horizontal="center"/>
    </xf>
    <xf numFmtId="0" fontId="1" fillId="0" borderId="0" xfId="1"/>
    <xf numFmtId="0" fontId="3" fillId="0" borderId="2" xfId="1" applyFont="1" applyBorder="1" applyAlignment="1">
      <alignment horizontal="center"/>
    </xf>
    <xf numFmtId="8" fontId="3" fillId="0" borderId="2" xfId="1" applyNumberFormat="1" applyFont="1" applyBorder="1" applyAlignment="1">
      <alignment horizontal="center" wrapText="1"/>
    </xf>
    <xf numFmtId="6" fontId="3" fillId="0" borderId="2" xfId="1" applyNumberFormat="1" applyFont="1" applyBorder="1" applyAlignment="1">
      <alignment horizontal="center" wrapText="1"/>
    </xf>
    <xf numFmtId="164" fontId="1" fillId="0" borderId="0" xfId="2" applyNumberFormat="1" applyFont="1" applyFill="1" applyBorder="1"/>
    <xf numFmtId="164" fontId="3" fillId="0" borderId="2" xfId="2" applyNumberFormat="1" applyFont="1" applyFill="1" applyBorder="1" applyAlignment="1">
      <alignment horizontal="center" wrapText="1"/>
    </xf>
    <xf numFmtId="6" fontId="3" fillId="0" borderId="0" xfId="1" applyNumberFormat="1" applyFont="1" applyAlignment="1">
      <alignment horizontal="center" wrapText="1"/>
    </xf>
    <xf numFmtId="8" fontId="3" fillId="0" borderId="0" xfId="1" applyNumberFormat="1" applyFont="1" applyAlignment="1">
      <alignment horizontal="center" wrapText="1"/>
    </xf>
    <xf numFmtId="0" fontId="3" fillId="0" borderId="0" xfId="1" applyFont="1" applyAlignment="1">
      <alignment horizontal="center"/>
    </xf>
    <xf numFmtId="0" fontId="1" fillId="0" borderId="0" xfId="1" applyAlignment="1">
      <alignment horizontal="center"/>
    </xf>
    <xf numFmtId="14" fontId="1" fillId="0" borderId="0" xfId="1" applyNumberFormat="1" applyAlignment="1">
      <alignment horizontal="center"/>
    </xf>
    <xf numFmtId="41" fontId="1" fillId="0" borderId="0" xfId="1" applyNumberFormat="1"/>
    <xf numFmtId="41" fontId="1" fillId="0" borderId="0" xfId="2" applyNumberFormat="1" applyFont="1" applyFill="1" applyBorder="1"/>
    <xf numFmtId="164" fontId="1" fillId="0" borderId="0" xfId="1" applyNumberFormat="1"/>
    <xf numFmtId="164" fontId="0" fillId="0" borderId="0" xfId="2" applyNumberFormat="1" applyFont="1" applyFill="1"/>
    <xf numFmtId="41" fontId="1" fillId="0" borderId="0" xfId="3" applyNumberFormat="1" applyFont="1" applyFill="1" applyBorder="1"/>
    <xf numFmtId="0" fontId="4" fillId="0" borderId="0" xfId="1" applyFont="1"/>
    <xf numFmtId="0" fontId="1" fillId="0" borderId="0" xfId="1" quotePrefix="1" applyAlignment="1">
      <alignment horizontal="center"/>
    </xf>
    <xf numFmtId="0" fontId="3" fillId="0" borderId="0" xfId="1" applyFont="1"/>
    <xf numFmtId="0" fontId="1" fillId="0" borderId="3" xfId="1" applyBorder="1" applyAlignment="1">
      <alignment horizontal="center"/>
    </xf>
    <xf numFmtId="164" fontId="1" fillId="0" borderId="3" xfId="1" applyNumberFormat="1" applyBorder="1"/>
    <xf numFmtId="6" fontId="1" fillId="0" borderId="0" xfId="1" applyNumberFormat="1"/>
    <xf numFmtId="0" fontId="3" fillId="0" borderId="2" xfId="1" applyFont="1" applyBorder="1" applyAlignment="1">
      <alignment horizontal="center" wrapText="1"/>
    </xf>
    <xf numFmtId="164" fontId="1" fillId="0" borderId="0" xfId="2" applyNumberFormat="1" applyFont="1" applyFill="1"/>
    <xf numFmtId="0" fontId="1" fillId="0" borderId="4" xfId="1" applyBorder="1" applyAlignment="1">
      <alignment horizontal="center"/>
    </xf>
    <xf numFmtId="41" fontId="1" fillId="0" borderId="4" xfId="3" applyNumberFormat="1" applyFont="1" applyFill="1" applyBorder="1"/>
    <xf numFmtId="1" fontId="1" fillId="0" borderId="0" xfId="1" applyNumberFormat="1" applyAlignment="1">
      <alignment horizontal="center"/>
    </xf>
    <xf numFmtId="41" fontId="1" fillId="0" borderId="0" xfId="3" applyNumberFormat="1" applyFont="1" applyFill="1"/>
    <xf numFmtId="41" fontId="1" fillId="0" borderId="3" xfId="3" applyNumberFormat="1" applyFont="1" applyFill="1" applyBorder="1"/>
    <xf numFmtId="1" fontId="1" fillId="0" borderId="3" xfId="1" applyNumberFormat="1" applyBorder="1" applyAlignment="1">
      <alignment horizontal="center"/>
    </xf>
    <xf numFmtId="14" fontId="1" fillId="0" borderId="0" xfId="1" applyNumberFormat="1"/>
    <xf numFmtId="0" fontId="5" fillId="0" borderId="0" xfId="1" applyFont="1"/>
    <xf numFmtId="41" fontId="1" fillId="0" borderId="3" xfId="2" applyNumberFormat="1" applyFont="1" applyFill="1" applyBorder="1"/>
    <xf numFmtId="14" fontId="1" fillId="0" borderId="0" xfId="3" applyNumberFormat="1" applyFont="1" applyFill="1" applyBorder="1" applyAlignment="1">
      <alignment horizontal="center"/>
    </xf>
    <xf numFmtId="165" fontId="1" fillId="0" borderId="0" xfId="3" applyNumberFormat="1" applyFont="1" applyFill="1" applyBorder="1" applyAlignment="1">
      <alignment horizontal="center"/>
    </xf>
    <xf numFmtId="41" fontId="1" fillId="0" borderId="3" xfId="2" applyNumberFormat="1" applyFont="1" applyFill="1" applyBorder="1" applyAlignment="1">
      <alignment horizontal="center"/>
    </xf>
    <xf numFmtId="41" fontId="1" fillId="0" borderId="3" xfId="1" applyNumberFormat="1" applyBorder="1"/>
    <xf numFmtId="41" fontId="1" fillId="0" borderId="0" xfId="2" applyNumberFormat="1" applyFont="1" applyFill="1" applyBorder="1" applyAlignment="1">
      <alignment horizontal="center"/>
    </xf>
    <xf numFmtId="41" fontId="1" fillId="0" borderId="0" xfId="2" applyNumberFormat="1" applyFont="1" applyFill="1" applyAlignment="1">
      <alignment horizontal="center"/>
    </xf>
    <xf numFmtId="41" fontId="1" fillId="0" borderId="10" xfId="3" applyNumberFormat="1" applyFont="1" applyFill="1" applyBorder="1" applyAlignment="1">
      <alignment horizontal="center"/>
    </xf>
    <xf numFmtId="41" fontId="1" fillId="0" borderId="0" xfId="3" applyNumberFormat="1" applyFont="1" applyFill="1" applyBorder="1" applyAlignment="1">
      <alignment horizontal="center"/>
    </xf>
    <xf numFmtId="0" fontId="6" fillId="0" borderId="0" xfId="1" applyFont="1"/>
    <xf numFmtId="0" fontId="3" fillId="0" borderId="11" xfId="1" applyFont="1" applyBorder="1"/>
    <xf numFmtId="0" fontId="3" fillId="0" borderId="12" xfId="1" applyFont="1" applyBorder="1"/>
    <xf numFmtId="0" fontId="0" fillId="0" borderId="0" xfId="0" applyAlignment="1">
      <alignment horizontal="center" wrapText="1"/>
    </xf>
    <xf numFmtId="166" fontId="0" fillId="0" borderId="0" xfId="0" applyNumberFormat="1"/>
    <xf numFmtId="166" fontId="0" fillId="0" borderId="0" xfId="0" applyNumberFormat="1" applyAlignment="1">
      <alignment horizontal="center" wrapText="1"/>
    </xf>
    <xf numFmtId="10" fontId="0" fillId="0" borderId="0" xfId="0" applyNumberFormat="1" applyAlignment="1">
      <alignment horizontal="center" wrapText="1"/>
    </xf>
    <xf numFmtId="3" fontId="0" fillId="0" borderId="0" xfId="0" applyNumberFormat="1"/>
    <xf numFmtId="0" fontId="0" fillId="0" borderId="5" xfId="0" applyBorder="1"/>
    <xf numFmtId="0" fontId="10" fillId="2" borderId="14" xfId="0" applyFont="1" applyFill="1" applyBorder="1" applyAlignment="1">
      <alignment horizontal="center"/>
    </xf>
    <xf numFmtId="0" fontId="10" fillId="0" borderId="15" xfId="0" applyFont="1" applyBorder="1"/>
    <xf numFmtId="0" fontId="0" fillId="2" borderId="13" xfId="0" applyFill="1" applyBorder="1"/>
    <xf numFmtId="0" fontId="0" fillId="0" borderId="15" xfId="0" applyBorder="1"/>
    <xf numFmtId="165" fontId="0" fillId="2" borderId="13" xfId="4" applyNumberFormat="1" applyFont="1" applyFill="1" applyBorder="1"/>
    <xf numFmtId="0" fontId="0" fillId="0" borderId="16" xfId="0" applyBorder="1"/>
    <xf numFmtId="164" fontId="0" fillId="2" borderId="17" xfId="5" applyNumberFormat="1" applyFont="1" applyFill="1" applyBorder="1"/>
    <xf numFmtId="0" fontId="0" fillId="3" borderId="0" xfId="0" applyFill="1"/>
    <xf numFmtId="164" fontId="0" fillId="2" borderId="13" xfId="5" applyNumberFormat="1" applyFont="1" applyFill="1" applyBorder="1"/>
    <xf numFmtId="0" fontId="0" fillId="3" borderId="15" xfId="0" applyFill="1" applyBorder="1"/>
    <xf numFmtId="1" fontId="0" fillId="3" borderId="13" xfId="0" applyNumberFormat="1" applyFill="1" applyBorder="1"/>
    <xf numFmtId="1" fontId="0" fillId="2" borderId="13" xfId="0" applyNumberFormat="1" applyFill="1" applyBorder="1"/>
    <xf numFmtId="165" fontId="0" fillId="0" borderId="0" xfId="0" applyNumberFormat="1"/>
    <xf numFmtId="0" fontId="0" fillId="0" borderId="0" xfId="0" applyAlignment="1">
      <alignment horizontal="right"/>
    </xf>
    <xf numFmtId="0" fontId="11" fillId="0" borderId="0" xfId="6"/>
    <xf numFmtId="0" fontId="13" fillId="0" borderId="0" xfId="6" applyFont="1" applyAlignment="1">
      <alignment horizontal="right" vertical="center"/>
    </xf>
    <xf numFmtId="4" fontId="13" fillId="0" borderId="18" xfId="6" applyNumberFormat="1" applyFont="1" applyBorder="1" applyAlignment="1">
      <alignment horizontal="right" vertical="top"/>
    </xf>
    <xf numFmtId="168" fontId="13" fillId="0" borderId="18" xfId="6" applyNumberFormat="1" applyFont="1" applyBorder="1" applyAlignment="1">
      <alignment horizontal="right" vertical="top"/>
    </xf>
    <xf numFmtId="0" fontId="13" fillId="0" borderId="18" xfId="6" applyFont="1" applyBorder="1" applyAlignment="1">
      <alignment horizontal="left" vertical="top"/>
    </xf>
    <xf numFmtId="169" fontId="13" fillId="0" borderId="18" xfId="6" applyNumberFormat="1" applyFont="1" applyBorder="1" applyAlignment="1">
      <alignment horizontal="left" vertical="top"/>
    </xf>
    <xf numFmtId="3" fontId="13" fillId="0" borderId="18" xfId="6" applyNumberFormat="1" applyFont="1" applyBorder="1" applyAlignment="1">
      <alignment horizontal="right" vertical="top"/>
    </xf>
    <xf numFmtId="4" fontId="13" fillId="0" borderId="19" xfId="6" applyNumberFormat="1" applyFont="1" applyBorder="1" applyAlignment="1">
      <alignment horizontal="right" vertical="top"/>
    </xf>
    <xf numFmtId="168" fontId="13" fillId="0" borderId="19" xfId="6" applyNumberFormat="1" applyFont="1" applyBorder="1" applyAlignment="1">
      <alignment horizontal="right" vertical="top"/>
    </xf>
    <xf numFmtId="0" fontId="13" fillId="0" borderId="19" xfId="6" applyFont="1" applyBorder="1" applyAlignment="1">
      <alignment horizontal="left" vertical="top"/>
    </xf>
    <xf numFmtId="169" fontId="13" fillId="0" borderId="19" xfId="6" applyNumberFormat="1" applyFont="1" applyBorder="1" applyAlignment="1">
      <alignment horizontal="left" vertical="top"/>
    </xf>
    <xf numFmtId="168" fontId="11" fillId="0" borderId="0" xfId="6" applyNumberFormat="1"/>
    <xf numFmtId="0" fontId="18" fillId="0" borderId="0" xfId="6" applyFont="1" applyAlignment="1">
      <alignment horizontal="center"/>
    </xf>
    <xf numFmtId="0" fontId="10" fillId="0" borderId="0" xfId="0" applyFont="1" applyAlignment="1">
      <alignment horizontal="center"/>
    </xf>
    <xf numFmtId="170" fontId="0" fillId="0" borderId="0" xfId="0" applyNumberFormat="1" applyAlignment="1">
      <alignment horizontal="center"/>
    </xf>
    <xf numFmtId="170" fontId="0" fillId="0" borderId="0" xfId="0" applyNumberFormat="1"/>
    <xf numFmtId="0" fontId="0" fillId="0" borderId="0" xfId="0" quotePrefix="1"/>
    <xf numFmtId="171" fontId="0" fillId="0" borderId="0" xfId="0" applyNumberFormat="1"/>
    <xf numFmtId="0" fontId="0" fillId="0" borderId="0" xfId="0" applyAlignment="1">
      <alignment horizontal="left" indent="1"/>
    </xf>
    <xf numFmtId="172" fontId="0" fillId="0" borderId="0" xfId="0" applyNumberFormat="1"/>
    <xf numFmtId="0" fontId="13" fillId="4" borderId="18" xfId="6" applyFont="1" applyFill="1" applyBorder="1" applyAlignment="1">
      <alignment horizontal="left" vertical="top"/>
    </xf>
    <xf numFmtId="0" fontId="10" fillId="0" borderId="0" xfId="0" applyFont="1"/>
    <xf numFmtId="3" fontId="0" fillId="0" borderId="1" xfId="0" applyNumberFormat="1" applyBorder="1"/>
    <xf numFmtId="166" fontId="0" fillId="0" borderId="1" xfId="0" applyNumberFormat="1" applyBorder="1"/>
    <xf numFmtId="170" fontId="0" fillId="0" borderId="1" xfId="0" applyNumberFormat="1" applyBorder="1"/>
    <xf numFmtId="0" fontId="10" fillId="0" borderId="1" xfId="0" applyFont="1" applyBorder="1" applyAlignment="1">
      <alignment horizontal="center" wrapText="1"/>
    </xf>
    <xf numFmtId="166" fontId="10" fillId="0" borderId="1" xfId="0" applyNumberFormat="1" applyFont="1" applyBorder="1" applyAlignment="1">
      <alignment horizontal="center" wrapText="1"/>
    </xf>
    <xf numFmtId="170" fontId="10" fillId="0" borderId="1" xfId="0" applyNumberFormat="1" applyFont="1" applyBorder="1" applyAlignment="1">
      <alignment horizontal="center" wrapText="1"/>
    </xf>
    <xf numFmtId="166" fontId="10" fillId="0" borderId="0" xfId="0" applyNumberFormat="1" applyFont="1"/>
    <xf numFmtId="164" fontId="10" fillId="0" borderId="0" xfId="7" applyNumberFormat="1" applyFont="1"/>
    <xf numFmtId="0" fontId="0" fillId="0" borderId="1" xfId="0" applyBorder="1"/>
    <xf numFmtId="166" fontId="10" fillId="0" borderId="24" xfId="0" applyNumberFormat="1" applyFont="1" applyBorder="1"/>
    <xf numFmtId="164" fontId="10" fillId="0" borderId="24" xfId="7" applyNumberFormat="1" applyFont="1" applyBorder="1"/>
    <xf numFmtId="37" fontId="3" fillId="4" borderId="0" xfId="0" applyNumberFormat="1" applyFont="1" applyFill="1"/>
    <xf numFmtId="0" fontId="20" fillId="0" borderId="0" xfId="0" applyFont="1"/>
    <xf numFmtId="166" fontId="20" fillId="0" borderId="0" xfId="0" applyNumberFormat="1" applyFont="1"/>
    <xf numFmtId="10" fontId="20" fillId="0" borderId="0" xfId="0" applyNumberFormat="1" applyFont="1"/>
    <xf numFmtId="167" fontId="20" fillId="0" borderId="0" xfId="0" applyNumberFormat="1" applyFont="1"/>
    <xf numFmtId="0" fontId="20" fillId="0" borderId="0" xfId="0" applyFont="1" applyAlignment="1">
      <alignment horizontal="center"/>
    </xf>
    <xf numFmtId="166" fontId="20" fillId="0" borderId="0" xfId="0" applyNumberFormat="1" applyFont="1" applyAlignment="1">
      <alignment horizontal="center"/>
    </xf>
    <xf numFmtId="10" fontId="20" fillId="0" borderId="0" xfId="0" applyNumberFormat="1" applyFont="1" applyAlignment="1">
      <alignment horizontal="center"/>
    </xf>
    <xf numFmtId="0" fontId="20" fillId="0" borderId="0" xfId="0" applyFont="1" applyAlignment="1">
      <alignment horizontal="center" wrapText="1"/>
    </xf>
    <xf numFmtId="166" fontId="20" fillId="0" borderId="0" xfId="0" applyNumberFormat="1" applyFont="1" applyAlignment="1">
      <alignment horizontal="center" wrapText="1"/>
    </xf>
    <xf numFmtId="10" fontId="20" fillId="0" borderId="0" xfId="0" applyNumberFormat="1" applyFont="1" applyAlignment="1">
      <alignment horizontal="center" wrapText="1"/>
    </xf>
    <xf numFmtId="166" fontId="19" fillId="0" borderId="0" xfId="0" applyNumberFormat="1" applyFont="1"/>
    <xf numFmtId="0" fontId="10" fillId="0" borderId="1" xfId="0" applyFont="1" applyBorder="1" applyAlignment="1">
      <alignment horizontal="center"/>
    </xf>
    <xf numFmtId="0" fontId="21" fillId="0" borderId="0" xfId="0" applyFont="1"/>
    <xf numFmtId="0" fontId="22" fillId="0" borderId="0" xfId="0" applyFont="1" applyAlignment="1">
      <alignment horizontal="center" vertical="center" wrapText="1"/>
    </xf>
    <xf numFmtId="0" fontId="22" fillId="0" borderId="0" xfId="0" applyFont="1" applyAlignment="1">
      <alignment vertical="center"/>
    </xf>
    <xf numFmtId="6" fontId="7" fillId="0" borderId="0" xfId="0" applyNumberFormat="1" applyFont="1" applyAlignment="1">
      <alignment horizontal="center" vertical="center"/>
    </xf>
    <xf numFmtId="3" fontId="8" fillId="0" borderId="0" xfId="0" applyNumberFormat="1" applyFont="1" applyAlignment="1">
      <alignment horizontal="center" vertical="center"/>
    </xf>
    <xf numFmtId="6" fontId="8" fillId="0" borderId="0" xfId="0" applyNumberFormat="1" applyFont="1" applyAlignment="1">
      <alignment horizontal="center" vertical="center"/>
    </xf>
    <xf numFmtId="0" fontId="23" fillId="0" borderId="0" xfId="0" applyFont="1" applyAlignment="1">
      <alignment vertical="center"/>
    </xf>
    <xf numFmtId="0" fontId="8" fillId="0" borderId="0" xfId="0" applyFont="1" applyAlignment="1">
      <alignment horizontal="center" vertical="center"/>
    </xf>
    <xf numFmtId="0" fontId="22" fillId="0" borderId="25" xfId="0" applyFont="1" applyBorder="1" applyAlignment="1">
      <alignment vertical="center"/>
    </xf>
    <xf numFmtId="6" fontId="8" fillId="0" borderId="25" xfId="0" applyNumberFormat="1" applyFont="1" applyBorder="1" applyAlignment="1">
      <alignment horizontal="center" vertical="center"/>
    </xf>
    <xf numFmtId="3" fontId="8" fillId="0" borderId="25" xfId="0" applyNumberFormat="1" applyFont="1" applyBorder="1" applyAlignment="1">
      <alignment horizontal="center" vertical="center"/>
    </xf>
    <xf numFmtId="166" fontId="20" fillId="0" borderId="1" xfId="0" applyNumberFormat="1" applyFont="1" applyBorder="1"/>
    <xf numFmtId="0" fontId="0" fillId="0" borderId="0" xfId="0" applyAlignment="1">
      <alignment horizontal="left" vertical="center"/>
    </xf>
    <xf numFmtId="0" fontId="0" fillId="0" borderId="0" xfId="0" applyAlignment="1">
      <alignment vertical="center" wrapText="1"/>
    </xf>
    <xf numFmtId="166" fontId="0" fillId="0" borderId="0" xfId="0" applyNumberFormat="1" applyAlignment="1">
      <alignment horizontal="center"/>
    </xf>
    <xf numFmtId="0" fontId="0" fillId="0" borderId="1" xfId="0" applyBorder="1" applyAlignment="1">
      <alignment horizontal="center"/>
    </xf>
    <xf numFmtId="0" fontId="3" fillId="0" borderId="0" xfId="1" applyFont="1" applyAlignment="1">
      <alignment wrapText="1"/>
    </xf>
    <xf numFmtId="0" fontId="0" fillId="0" borderId="0" xfId="0" applyAlignment="1">
      <alignment vertical="center" wrapText="1"/>
    </xf>
    <xf numFmtId="166" fontId="0" fillId="0" borderId="0" xfId="0" applyNumberFormat="1" applyAlignment="1">
      <alignment horizontal="center"/>
    </xf>
    <xf numFmtId="0" fontId="0" fillId="0" borderId="0" xfId="0" applyAlignment="1">
      <alignment horizontal="center"/>
    </xf>
    <xf numFmtId="0" fontId="0" fillId="0" borderId="1" xfId="0" applyBorder="1" applyAlignment="1">
      <alignment horizontal="center"/>
    </xf>
    <xf numFmtId="10" fontId="0" fillId="0" borderId="1" xfId="0" applyNumberFormat="1" applyBorder="1" applyAlignment="1">
      <alignment horizontal="center"/>
    </xf>
    <xf numFmtId="0" fontId="3" fillId="0" borderId="11" xfId="1" applyFont="1" applyBorder="1" applyAlignment="1">
      <alignment wrapText="1"/>
    </xf>
    <xf numFmtId="0" fontId="3" fillId="0" borderId="0" xfId="1" applyFont="1" applyAlignment="1">
      <alignment wrapText="1"/>
    </xf>
    <xf numFmtId="0" fontId="3" fillId="0" borderId="12" xfId="1" applyFont="1" applyBorder="1" applyAlignment="1">
      <alignment wrapText="1"/>
    </xf>
    <xf numFmtId="0" fontId="3" fillId="0" borderId="8" xfId="1" applyFont="1" applyBorder="1" applyAlignment="1">
      <alignment wrapText="1"/>
    </xf>
    <xf numFmtId="0" fontId="3" fillId="0" borderId="2" xfId="1" applyFont="1" applyBorder="1" applyAlignment="1">
      <alignment wrapText="1"/>
    </xf>
    <xf numFmtId="0" fontId="3" fillId="0" borderId="9" xfId="1" applyFont="1" applyBorder="1" applyAlignment="1">
      <alignment wrapText="1"/>
    </xf>
    <xf numFmtId="49" fontId="2" fillId="0" borderId="0" xfId="1" applyNumberFormat="1" applyFont="1" applyAlignment="1">
      <alignment horizontal="center"/>
    </xf>
    <xf numFmtId="0" fontId="3" fillId="0" borderId="5" xfId="1" applyFont="1" applyBorder="1" applyAlignment="1">
      <alignment wrapText="1"/>
    </xf>
    <xf numFmtId="0" fontId="3" fillId="0" borderId="6" xfId="1" applyFont="1" applyBorder="1" applyAlignment="1">
      <alignment wrapText="1"/>
    </xf>
    <xf numFmtId="0" fontId="3" fillId="0" borderId="7" xfId="1" applyFont="1" applyBorder="1" applyAlignment="1">
      <alignment wrapText="1"/>
    </xf>
    <xf numFmtId="0" fontId="12" fillId="0" borderId="21" xfId="6" applyFont="1" applyBorder="1" applyAlignment="1">
      <alignment horizontal="left" vertical="center"/>
    </xf>
    <xf numFmtId="0" fontId="11" fillId="0" borderId="21" xfId="6" applyBorder="1"/>
    <xf numFmtId="0" fontId="12" fillId="0" borderId="21" xfId="6" applyFont="1" applyBorder="1" applyAlignment="1">
      <alignment horizontal="right" vertical="center"/>
    </xf>
    <xf numFmtId="0" fontId="12" fillId="0" borderId="0" xfId="6" applyFont="1" applyAlignment="1">
      <alignment horizontal="left" vertical="center"/>
    </xf>
    <xf numFmtId="0" fontId="11" fillId="0" borderId="0" xfId="6"/>
    <xf numFmtId="0" fontId="14" fillId="5" borderId="20" xfId="6" applyFont="1" applyFill="1" applyBorder="1" applyAlignment="1">
      <alignment horizontal="center" vertical="top"/>
    </xf>
    <xf numFmtId="0" fontId="11" fillId="5" borderId="22" xfId="6" applyFill="1" applyBorder="1"/>
    <xf numFmtId="0" fontId="17" fillId="0" borderId="0" xfId="6" applyFont="1" applyAlignment="1">
      <alignment horizontal="center" vertical="center"/>
    </xf>
    <xf numFmtId="0" fontId="12" fillId="0" borderId="0" xfId="6" applyFont="1" applyAlignment="1">
      <alignment horizontal="right" vertical="center"/>
    </xf>
    <xf numFmtId="0" fontId="16" fillId="0" borderId="0" xfId="6" applyFont="1" applyAlignment="1">
      <alignment horizontal="right" vertical="center"/>
    </xf>
    <xf numFmtId="0" fontId="15" fillId="0" borderId="23" xfId="6" applyFont="1" applyBorder="1" applyAlignment="1">
      <alignment horizontal="left" vertical="center"/>
    </xf>
    <xf numFmtId="0" fontId="11" fillId="0" borderId="23" xfId="6" applyBorder="1"/>
  </cellXfs>
  <cellStyles count="8">
    <cellStyle name="Comma" xfId="7" builtinId="3"/>
    <cellStyle name="Comma 2" xfId="2" xr:uid="{019C692E-9B0D-48C5-890B-F1159FD16E6E}"/>
    <cellStyle name="Comma 3" xfId="5" xr:uid="{FEF4242B-045C-4BC0-A006-009C3A84C033}"/>
    <cellStyle name="Currency 2" xfId="3" xr:uid="{94847582-A320-4A5E-BBDE-802F3205AEFF}"/>
    <cellStyle name="Currency 3" xfId="4" xr:uid="{5CB7CA4E-38C9-4698-BDBB-32136AE898A5}"/>
    <cellStyle name="Normal" xfId="0" builtinId="0"/>
    <cellStyle name="Normal 2" xfId="1" xr:uid="{F51255DA-8184-49FA-8CA9-A70395BB3E79}"/>
    <cellStyle name="Normal 3" xfId="6" xr:uid="{996D33D7-7AFE-4015-95CD-27A373A1CC9E}"/>
  </cellStyles>
  <dxfs count="0"/>
  <tableStyles count="0" defaultTableStyle="TableStyleMedium2" defaultPivotStyle="PivotStyleLight16"/>
  <colors>
    <mruColors>
      <color rgb="FFFFBDB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5</xdr:col>
      <xdr:colOff>609219</xdr:colOff>
      <xdr:row>15</xdr:row>
      <xdr:rowOff>333195</xdr:rowOff>
    </xdr:to>
    <xdr:pic>
      <xdr:nvPicPr>
        <xdr:cNvPr id="2" name="Picture 1">
          <a:extLst>
            <a:ext uri="{FF2B5EF4-FFF2-40B4-BE49-F238E27FC236}">
              <a16:creationId xmlns:a16="http://schemas.microsoft.com/office/drawing/2014/main" id="{F7E94A80-786E-FAEE-AE14-DEEFA9C89DFF}"/>
            </a:ext>
          </a:extLst>
        </xdr:cNvPr>
        <xdr:cNvPicPr>
          <a:picLocks noChangeAspect="1"/>
        </xdr:cNvPicPr>
      </xdr:nvPicPr>
      <xdr:blipFill>
        <a:blip xmlns:r="http://schemas.openxmlformats.org/officeDocument/2006/relationships" r:embed="rId1"/>
        <a:stretch>
          <a:fillRect/>
        </a:stretch>
      </xdr:blipFill>
      <xdr:spPr>
        <a:xfrm>
          <a:off x="609600" y="1809750"/>
          <a:ext cx="3047619" cy="14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09650" cy="619125"/>
    <xdr:pic>
      <xdr:nvPicPr>
        <xdr:cNvPr id="2" name="AEP+Enterprise+Reporting.jpg.jpeg">
          <a:extLst>
            <a:ext uri="{FF2B5EF4-FFF2-40B4-BE49-F238E27FC236}">
              <a16:creationId xmlns:a16="http://schemas.microsoft.com/office/drawing/2014/main" id="{2C05527C-61A6-422C-8EFC-1F725CA08A3A}"/>
            </a:ext>
          </a:extLst>
        </xdr:cNvPr>
        <xdr:cNvPicPr>
          <a:picLocks noChangeAspect="1"/>
        </xdr:cNvPicPr>
      </xdr:nvPicPr>
      <xdr:blipFill>
        <a:blip xmlns:r="http://schemas.openxmlformats.org/officeDocument/2006/relationships" r:embed="rId1"/>
        <a:stretch>
          <a:fillRect/>
        </a:stretch>
      </xdr:blipFill>
      <xdr:spPr>
        <a:xfrm>
          <a:off x="0" y="0"/>
          <a:ext cx="1009650" cy="619125"/>
        </a:xfrm>
        <a:prstGeom prst="rect">
          <a:avLst/>
        </a:prstGeom>
        <a:noFill/>
        <a:ln>
          <a:noFill/>
        </a:ln>
      </xdr:spPr>
    </xdr:pic>
    <xdr:clientData/>
  </xdr:oneCellAnchor>
  <xdr:oneCellAnchor>
    <xdr:from>
      <xdr:col>0</xdr:col>
      <xdr:colOff>0</xdr:colOff>
      <xdr:row>60</xdr:row>
      <xdr:rowOff>0</xdr:rowOff>
    </xdr:from>
    <xdr:ext cx="1009650" cy="619125"/>
    <xdr:pic>
      <xdr:nvPicPr>
        <xdr:cNvPr id="3" name="AEP+Enterprise+Reporting.jpg.jpeg">
          <a:extLst>
            <a:ext uri="{FF2B5EF4-FFF2-40B4-BE49-F238E27FC236}">
              <a16:creationId xmlns:a16="http://schemas.microsoft.com/office/drawing/2014/main" id="{B72C9C81-B86F-4A74-8B1B-EFD31627132D}"/>
            </a:ext>
          </a:extLst>
        </xdr:cNvPr>
        <xdr:cNvPicPr>
          <a:picLocks noChangeAspect="1"/>
        </xdr:cNvPicPr>
      </xdr:nvPicPr>
      <xdr:blipFill>
        <a:blip xmlns:r="http://schemas.openxmlformats.org/officeDocument/2006/relationships" r:embed="rId1"/>
        <a:stretch>
          <a:fillRect/>
        </a:stretch>
      </xdr:blipFill>
      <xdr:spPr>
        <a:xfrm>
          <a:off x="0" y="9715500"/>
          <a:ext cx="1009650" cy="619125"/>
        </a:xfrm>
        <a:prstGeom prst="rect">
          <a:avLst/>
        </a:prstGeom>
        <a:noFill/>
        <a:ln>
          <a:noFill/>
        </a:ln>
      </xdr:spPr>
    </xdr:pic>
    <xdr:clientData/>
  </xdr:oneCellAnchor>
  <xdr:oneCellAnchor>
    <xdr:from>
      <xdr:col>0</xdr:col>
      <xdr:colOff>0</xdr:colOff>
      <xdr:row>118</xdr:row>
      <xdr:rowOff>0</xdr:rowOff>
    </xdr:from>
    <xdr:ext cx="1009650" cy="619125"/>
    <xdr:pic>
      <xdr:nvPicPr>
        <xdr:cNvPr id="4" name="AEP+Enterprise+Reporting.jpg.jpeg">
          <a:extLst>
            <a:ext uri="{FF2B5EF4-FFF2-40B4-BE49-F238E27FC236}">
              <a16:creationId xmlns:a16="http://schemas.microsoft.com/office/drawing/2014/main" id="{7167F6FC-31B8-45A7-A8C5-985194672427}"/>
            </a:ext>
          </a:extLst>
        </xdr:cNvPr>
        <xdr:cNvPicPr>
          <a:picLocks noChangeAspect="1"/>
        </xdr:cNvPicPr>
      </xdr:nvPicPr>
      <xdr:blipFill>
        <a:blip xmlns:r="http://schemas.openxmlformats.org/officeDocument/2006/relationships" r:embed="rId1"/>
        <a:stretch>
          <a:fillRect/>
        </a:stretch>
      </xdr:blipFill>
      <xdr:spPr>
        <a:xfrm>
          <a:off x="0" y="19107150"/>
          <a:ext cx="1009650" cy="619125"/>
        </a:xfrm>
        <a:prstGeom prst="rect">
          <a:avLst/>
        </a:prstGeom>
        <a:noFill/>
        <a:ln>
          <a:noFill/>
        </a:ln>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D420-52AD-4659-9139-62C3C93BE1E2}">
  <sheetPr>
    <pageSetUpPr fitToPage="1"/>
  </sheetPr>
  <dimension ref="D7:I19"/>
  <sheetViews>
    <sheetView tabSelected="1" zoomScaleNormal="100" workbookViewId="0">
      <selection activeCell="C18" sqref="C18"/>
    </sheetView>
  </sheetViews>
  <sheetFormatPr defaultRowHeight="14.5"/>
  <sheetData>
    <row r="7" spans="4:8">
      <c r="D7" s="126" t="s">
        <v>0</v>
      </c>
      <c r="E7" s="127"/>
      <c r="F7" s="127"/>
      <c r="G7" s="127"/>
      <c r="H7" s="127"/>
    </row>
    <row r="8" spans="4:8">
      <c r="D8" s="131" t="s">
        <v>1</v>
      </c>
      <c r="E8" s="131"/>
      <c r="F8" s="131"/>
      <c r="G8" s="127"/>
      <c r="H8" s="127"/>
    </row>
    <row r="9" spans="4:8">
      <c r="D9" s="131" t="s">
        <v>2</v>
      </c>
      <c r="E9" s="131"/>
      <c r="F9" s="131"/>
      <c r="G9" s="131"/>
      <c r="H9" s="131"/>
    </row>
    <row r="15" spans="4:8" ht="30" customHeight="1"/>
    <row r="16" spans="4:8" ht="30" customHeight="1"/>
    <row r="17" spans="5:9">
      <c r="E17" s="127"/>
      <c r="F17" s="127"/>
      <c r="G17" s="127"/>
      <c r="H17" s="127"/>
      <c r="I17" s="127"/>
    </row>
    <row r="18" spans="5:9" ht="30" customHeight="1">
      <c r="E18" s="131"/>
      <c r="F18" s="131"/>
      <c r="G18" s="131"/>
      <c r="H18" s="131"/>
      <c r="I18" s="131"/>
    </row>
    <row r="19" spans="5:9" ht="30" customHeight="1">
      <c r="E19" s="131"/>
      <c r="F19" s="131"/>
      <c r="G19" s="127"/>
      <c r="H19" s="127"/>
      <c r="I19" s="127"/>
    </row>
  </sheetData>
  <mergeCells count="4">
    <mergeCell ref="D8:F8"/>
    <mergeCell ref="D9:H9"/>
    <mergeCell ref="E18:I18"/>
    <mergeCell ref="E19:F1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67945-2481-4E91-9BFE-E0894DDE8AD5}">
  <sheetPr>
    <pageSetUpPr fitToPage="1"/>
  </sheetPr>
  <dimension ref="A1:K83"/>
  <sheetViews>
    <sheetView view="pageLayout" zoomScale="70" zoomScaleNormal="100" zoomScalePageLayoutView="70" workbookViewId="0">
      <selection activeCell="B11" sqref="B11"/>
    </sheetView>
  </sheetViews>
  <sheetFormatPr defaultColWidth="9.1796875" defaultRowHeight="12.5"/>
  <cols>
    <col min="1" max="1" width="38.7265625" style="4" customWidth="1"/>
    <col min="2" max="2" width="13.1796875" style="4" customWidth="1"/>
    <col min="3" max="3" width="13.54296875" style="4" customWidth="1"/>
    <col min="4" max="4" width="14.26953125" style="25" customWidth="1"/>
    <col min="5" max="5" width="17.7265625" style="4" customWidth="1"/>
    <col min="6" max="6" width="4" style="4" customWidth="1"/>
    <col min="7" max="7" width="17.7265625" style="4" customWidth="1"/>
    <col min="8" max="8" width="4" style="4" customWidth="1"/>
    <col min="9" max="9" width="17.7265625" style="4" customWidth="1"/>
    <col min="10" max="10" width="4" style="4" customWidth="1"/>
    <col min="11" max="11" width="17.7265625" style="4" customWidth="1"/>
    <col min="12" max="12" width="10.7265625" style="4" customWidth="1"/>
    <col min="13" max="13" width="12.81640625" style="4" bestFit="1" customWidth="1"/>
    <col min="14" max="27" width="9.1796875" style="4"/>
    <col min="28" max="28" width="11.453125" style="4" customWidth="1"/>
    <col min="29" max="16384" width="9.1796875" style="4"/>
  </cols>
  <sheetData>
    <row r="1" spans="1:11" ht="15.5">
      <c r="A1" s="142" t="s">
        <v>119</v>
      </c>
      <c r="B1" s="142"/>
      <c r="C1" s="142"/>
      <c r="D1" s="142"/>
      <c r="E1" s="142"/>
      <c r="F1" s="142"/>
      <c r="G1" s="142"/>
      <c r="H1" s="142"/>
      <c r="I1" s="142"/>
      <c r="J1" s="142"/>
      <c r="K1" s="142"/>
    </row>
    <row r="2" spans="1:11" ht="15.5">
      <c r="A2" s="142" t="s">
        <v>120</v>
      </c>
      <c r="B2" s="142"/>
      <c r="C2" s="142"/>
      <c r="D2" s="142"/>
      <c r="E2" s="142"/>
      <c r="F2" s="142"/>
      <c r="G2" s="142"/>
      <c r="H2" s="142"/>
      <c r="I2" s="142"/>
      <c r="J2" s="142"/>
      <c r="K2" s="142"/>
    </row>
    <row r="4" spans="1:11" ht="39.5" thickBot="1">
      <c r="A4" s="5" t="s">
        <v>121</v>
      </c>
      <c r="B4" s="6" t="s">
        <v>122</v>
      </c>
      <c r="C4" s="6" t="s">
        <v>123</v>
      </c>
      <c r="D4" s="7" t="s">
        <v>124</v>
      </c>
      <c r="E4" s="6" t="s">
        <v>30</v>
      </c>
      <c r="F4" s="8"/>
      <c r="G4" s="9" t="s">
        <v>125</v>
      </c>
      <c r="H4" s="8"/>
      <c r="I4" s="7" t="s">
        <v>126</v>
      </c>
      <c r="J4" s="10"/>
      <c r="K4" s="7" t="s">
        <v>127</v>
      </c>
    </row>
    <row r="5" spans="1:11" ht="13">
      <c r="B5" s="11"/>
      <c r="C5" s="11"/>
      <c r="D5" s="10"/>
      <c r="E5" s="11"/>
      <c r="F5" s="8"/>
      <c r="G5" s="11"/>
      <c r="H5" s="8"/>
      <c r="I5" s="10"/>
      <c r="J5" s="10"/>
      <c r="K5" s="10"/>
    </row>
    <row r="6" spans="1:11" ht="13.5" thickBot="1">
      <c r="A6" s="5" t="s">
        <v>128</v>
      </c>
      <c r="B6" s="11"/>
      <c r="C6" s="12"/>
      <c r="D6" s="10"/>
      <c r="F6" s="8"/>
      <c r="H6" s="8"/>
    </row>
    <row r="7" spans="1:11">
      <c r="A7" s="4" t="s">
        <v>129</v>
      </c>
      <c r="B7" s="13">
        <v>1</v>
      </c>
      <c r="C7" s="13">
        <v>655</v>
      </c>
      <c r="D7" s="14">
        <v>47118</v>
      </c>
      <c r="E7" s="15">
        <v>353819042.92769998</v>
      </c>
      <c r="F7" s="15"/>
      <c r="G7" s="15">
        <v>52647802.999999993</v>
      </c>
      <c r="H7" s="15"/>
      <c r="I7" s="16">
        <v>31836579.300000001</v>
      </c>
      <c r="J7" s="15"/>
      <c r="K7" s="15">
        <v>73543636.200000018</v>
      </c>
    </row>
    <row r="8" spans="1:11">
      <c r="A8" s="4" t="s">
        <v>130</v>
      </c>
      <c r="B8" s="13">
        <v>2</v>
      </c>
      <c r="C8" s="13">
        <v>655</v>
      </c>
      <c r="D8" s="14">
        <v>47118</v>
      </c>
      <c r="E8" s="15">
        <v>153563584.42769992</v>
      </c>
      <c r="F8" s="15"/>
      <c r="G8" s="15">
        <v>2949638.9299999997</v>
      </c>
      <c r="H8" s="15"/>
      <c r="I8" s="17">
        <v>0</v>
      </c>
      <c r="J8" s="15"/>
      <c r="K8" s="15">
        <v>21387398.399999999</v>
      </c>
    </row>
    <row r="9" spans="1:11" ht="12" customHeight="1">
      <c r="A9" s="4" t="s">
        <v>131</v>
      </c>
      <c r="B9" s="13">
        <v>1</v>
      </c>
      <c r="C9" s="13">
        <v>655</v>
      </c>
      <c r="D9" s="14">
        <v>47118</v>
      </c>
      <c r="E9" s="15">
        <v>190719936.49634984</v>
      </c>
      <c r="F9" s="15"/>
      <c r="G9" s="15">
        <v>18857094.010000002</v>
      </c>
      <c r="H9" s="15"/>
      <c r="I9" s="17">
        <v>31838165.079999998</v>
      </c>
      <c r="J9" s="15"/>
      <c r="K9" s="15">
        <v>43373104.560000002</v>
      </c>
    </row>
    <row r="10" spans="1:11">
      <c r="A10" s="4" t="s">
        <v>131</v>
      </c>
      <c r="B10" s="13">
        <v>2</v>
      </c>
      <c r="C10" s="13">
        <v>655</v>
      </c>
      <c r="D10" s="14">
        <v>47118</v>
      </c>
      <c r="E10" s="15">
        <v>89595953.876350224</v>
      </c>
      <c r="F10" s="15"/>
      <c r="G10" s="15">
        <v>7323591.4000000004</v>
      </c>
      <c r="H10" s="15"/>
      <c r="I10" s="17">
        <v>0</v>
      </c>
      <c r="J10" s="15"/>
      <c r="K10" s="15">
        <v>13303240.919999998</v>
      </c>
    </row>
    <row r="11" spans="1:11" ht="13.5" thickBot="1">
      <c r="A11" s="22" t="s">
        <v>132</v>
      </c>
      <c r="B11" s="13"/>
      <c r="C11" s="23">
        <f>SUM(C7:C10)</f>
        <v>2620</v>
      </c>
      <c r="D11" s="14"/>
      <c r="E11" s="24">
        <f>SUM(E7:E10)</f>
        <v>787698517.72810006</v>
      </c>
      <c r="G11" s="24">
        <f>SUM(G7:G10)</f>
        <v>81778127.340000004</v>
      </c>
      <c r="I11" s="24">
        <f>SUM(I7:I10)</f>
        <v>63674744.379999995</v>
      </c>
      <c r="K11" s="24">
        <f>SUM(K7:K10)</f>
        <v>151607380.08000001</v>
      </c>
    </row>
    <row r="12" spans="1:11" ht="13" thickTop="1"/>
    <row r="13" spans="1:11" ht="15" thickBot="1">
      <c r="A13" s="26" t="s">
        <v>22</v>
      </c>
      <c r="B13" s="13"/>
      <c r="C13" s="13"/>
      <c r="D13" s="14"/>
      <c r="I13" s="18"/>
      <c r="K13" s="27"/>
    </row>
    <row r="14" spans="1:11" ht="13.5" customHeight="1">
      <c r="A14" s="4" t="s">
        <v>133</v>
      </c>
      <c r="B14" s="13" t="s">
        <v>134</v>
      </c>
      <c r="C14" s="13">
        <v>2191</v>
      </c>
      <c r="D14" s="14" t="s">
        <v>135</v>
      </c>
      <c r="E14" s="15">
        <v>2280458970.6499991</v>
      </c>
      <c r="G14" s="15">
        <v>-72008229.610000014</v>
      </c>
      <c r="I14" s="15">
        <v>0</v>
      </c>
      <c r="K14" s="27">
        <v>184877264.28</v>
      </c>
    </row>
    <row r="15" spans="1:11" ht="13.5" customHeight="1">
      <c r="A15" s="22" t="s">
        <v>136</v>
      </c>
      <c r="B15" s="13"/>
      <c r="C15" s="28">
        <f>SUM(C14)</f>
        <v>2191</v>
      </c>
      <c r="D15" s="14"/>
      <c r="E15" s="29">
        <f>SUM(E14)</f>
        <v>2280458970.6499991</v>
      </c>
      <c r="G15" s="29">
        <f>SUM(G14)</f>
        <v>-72008229.610000014</v>
      </c>
      <c r="I15" s="29">
        <f>SUM(I14)</f>
        <v>0</v>
      </c>
      <c r="K15" s="29">
        <f>SUM(K14)</f>
        <v>184877264.28</v>
      </c>
    </row>
    <row r="16" spans="1:11">
      <c r="E16" s="19"/>
      <c r="F16" s="19"/>
      <c r="G16" s="19"/>
      <c r="H16" s="19"/>
      <c r="I16" s="19"/>
      <c r="J16" s="19"/>
      <c r="K16" s="19"/>
    </row>
    <row r="17" spans="1:11" ht="13.5" customHeight="1" thickBot="1">
      <c r="A17" s="5" t="s">
        <v>81</v>
      </c>
      <c r="B17" s="13"/>
      <c r="C17" s="13"/>
      <c r="D17" s="14"/>
      <c r="E17" s="19"/>
      <c r="G17" s="19"/>
      <c r="I17" s="19"/>
      <c r="K17" s="19"/>
    </row>
    <row r="18" spans="1:11">
      <c r="B18" s="21"/>
      <c r="C18" s="13"/>
      <c r="D18" s="13"/>
      <c r="E18" s="17"/>
      <c r="G18" s="17"/>
      <c r="I18" s="17"/>
      <c r="K18" s="17"/>
    </row>
    <row r="19" spans="1:11" ht="13.5" customHeight="1" thickBot="1">
      <c r="A19" s="22" t="s">
        <v>137</v>
      </c>
      <c r="B19" s="13"/>
      <c r="C19" s="23">
        <f>SUM(C18:C18)</f>
        <v>0</v>
      </c>
      <c r="D19" s="14"/>
      <c r="E19" s="32">
        <f>SUM(E18:E18)</f>
        <v>0</v>
      </c>
      <c r="G19" s="32">
        <f>SUM(G18:G18)</f>
        <v>0</v>
      </c>
      <c r="I19" s="32">
        <f>SUM(I18:I18)</f>
        <v>0</v>
      </c>
      <c r="K19" s="32">
        <f>SUM(K18:K18)</f>
        <v>0</v>
      </c>
    </row>
    <row r="20" spans="1:11" ht="13.5" customHeight="1" thickTop="1">
      <c r="A20" s="22"/>
      <c r="B20" s="13"/>
      <c r="C20" s="13"/>
      <c r="D20" s="14"/>
      <c r="E20" s="19"/>
      <c r="G20" s="19"/>
      <c r="I20" s="19"/>
      <c r="K20" s="19"/>
    </row>
    <row r="21" spans="1:11" ht="13.5" customHeight="1" thickBot="1">
      <c r="A21" s="5" t="s">
        <v>138</v>
      </c>
      <c r="B21" s="13"/>
      <c r="C21" s="13"/>
      <c r="D21" s="14"/>
      <c r="E21" s="19"/>
      <c r="G21" s="19"/>
      <c r="I21" s="19"/>
      <c r="K21" s="19"/>
    </row>
    <row r="22" spans="1:11" ht="13.5" customHeight="1">
      <c r="A22" s="4" t="s">
        <v>72</v>
      </c>
      <c r="B22" s="13"/>
      <c r="C22" s="13">
        <v>22</v>
      </c>
      <c r="D22" s="14" t="s">
        <v>139</v>
      </c>
      <c r="E22" s="15">
        <v>42305057.516199999</v>
      </c>
      <c r="G22" s="15">
        <v>3775001.7600000007</v>
      </c>
      <c r="I22" s="15">
        <v>520585.35</v>
      </c>
      <c r="K22" s="27">
        <v>2227946.52</v>
      </c>
    </row>
    <row r="23" spans="1:11" ht="13.5" customHeight="1">
      <c r="A23" s="4" t="s">
        <v>73</v>
      </c>
      <c r="B23" s="13"/>
      <c r="C23" s="13">
        <v>15</v>
      </c>
      <c r="D23" s="14" t="s">
        <v>139</v>
      </c>
      <c r="E23" s="15">
        <v>59037574.659999996</v>
      </c>
      <c r="G23" s="15">
        <v>410478.87000000005</v>
      </c>
      <c r="I23" s="18">
        <v>0</v>
      </c>
      <c r="K23" s="27">
        <v>3123236.6399999997</v>
      </c>
    </row>
    <row r="24" spans="1:11" ht="13.5" customHeight="1" thickBot="1">
      <c r="A24" s="22" t="s">
        <v>140</v>
      </c>
      <c r="B24" s="13"/>
      <c r="C24" s="23">
        <f>SUM(C22:C23)</f>
        <v>37</v>
      </c>
      <c r="D24" s="14"/>
      <c r="E24" s="32">
        <f>SUM(E22:E23)</f>
        <v>101342632.1762</v>
      </c>
      <c r="G24" s="32">
        <f>SUM(G22:G23)</f>
        <v>4185480.6300000008</v>
      </c>
      <c r="I24" s="32">
        <f>SUM(I22:I23)</f>
        <v>520585.35</v>
      </c>
      <c r="K24" s="32">
        <f>SUM(K22:K23)</f>
        <v>5351183.16</v>
      </c>
    </row>
    <row r="25" spans="1:11" ht="13" thickTop="1"/>
    <row r="27" spans="1:11" ht="13.5" customHeight="1" thickBot="1">
      <c r="A27" s="22" t="s">
        <v>141</v>
      </c>
      <c r="B27" s="13"/>
      <c r="C27" s="33">
        <f>+C24+C19+C15+C11</f>
        <v>4848</v>
      </c>
      <c r="D27" s="34"/>
      <c r="E27" s="24">
        <f>+E15+E19+E11+E24</f>
        <v>3169500120.5542994</v>
      </c>
      <c r="G27" s="24">
        <f>+G15+G19+G11+G24</f>
        <v>13955378.35999999</v>
      </c>
      <c r="I27" s="24">
        <f>I15+I19+I11+I24</f>
        <v>64195329.729999997</v>
      </c>
      <c r="K27" s="24">
        <f>+K15+K19+K11+K24</f>
        <v>341835827.52000004</v>
      </c>
    </row>
    <row r="28" spans="1:11" ht="13" thickTop="1"/>
    <row r="29" spans="1:11" ht="13" thickBot="1"/>
    <row r="30" spans="1:11" ht="25.5" customHeight="1" thickBot="1">
      <c r="A30" s="143" t="s">
        <v>142</v>
      </c>
      <c r="B30" s="144"/>
      <c r="C30" s="144"/>
      <c r="D30" s="144"/>
      <c r="E30" s="144"/>
      <c r="F30" s="144"/>
      <c r="G30" s="144"/>
      <c r="H30" s="144"/>
      <c r="I30" s="144"/>
      <c r="J30" s="144"/>
      <c r="K30" s="145"/>
    </row>
    <row r="31" spans="1:11" ht="25.5" customHeight="1">
      <c r="A31" s="143" t="s">
        <v>143</v>
      </c>
      <c r="B31" s="144"/>
      <c r="C31" s="144"/>
      <c r="D31" s="144"/>
      <c r="E31" s="144"/>
      <c r="F31" s="144"/>
      <c r="G31" s="144"/>
      <c r="H31" s="144"/>
      <c r="I31" s="144"/>
      <c r="J31" s="144"/>
      <c r="K31" s="145"/>
    </row>
    <row r="32" spans="1:11" ht="13.5" thickBot="1">
      <c r="A32" s="139"/>
      <c r="B32" s="140"/>
      <c r="C32" s="140"/>
      <c r="D32" s="140"/>
      <c r="E32" s="140"/>
      <c r="F32" s="140"/>
      <c r="G32" s="140"/>
      <c r="H32" s="140"/>
      <c r="I32" s="140"/>
      <c r="J32" s="140"/>
      <c r="K32" s="141"/>
    </row>
    <row r="33" spans="1:11" ht="13">
      <c r="A33" s="130"/>
      <c r="B33" s="130"/>
      <c r="C33" s="130"/>
      <c r="D33" s="130"/>
      <c r="E33" s="130"/>
      <c r="F33" s="130"/>
      <c r="G33" s="130"/>
      <c r="H33" s="130"/>
      <c r="I33" s="130"/>
      <c r="J33" s="130"/>
      <c r="K33" s="130"/>
    </row>
    <row r="35" spans="1:11" ht="13">
      <c r="A35" s="35" t="s">
        <v>144</v>
      </c>
    </row>
    <row r="37" spans="1:11" ht="13.5" thickBot="1">
      <c r="A37" s="5" t="s">
        <v>145</v>
      </c>
      <c r="B37" s="11"/>
      <c r="C37" s="12"/>
      <c r="D37" s="10"/>
      <c r="F37" s="8"/>
      <c r="H37" s="8"/>
    </row>
    <row r="38" spans="1:11">
      <c r="A38" s="4" t="s">
        <v>146</v>
      </c>
      <c r="B38" s="13">
        <v>5</v>
      </c>
      <c r="C38" s="13" t="s">
        <v>147</v>
      </c>
      <c r="D38" s="14" t="s">
        <v>82</v>
      </c>
      <c r="E38" s="15">
        <v>0</v>
      </c>
      <c r="F38" s="16"/>
      <c r="G38" s="15">
        <v>0</v>
      </c>
      <c r="H38" s="16"/>
      <c r="I38" s="16">
        <v>0</v>
      </c>
      <c r="J38" s="16"/>
      <c r="K38" s="16">
        <v>0</v>
      </c>
    </row>
    <row r="39" spans="1:11">
      <c r="A39" s="4" t="s">
        <v>148</v>
      </c>
      <c r="B39" s="13">
        <v>1</v>
      </c>
      <c r="C39" s="13" t="s">
        <v>147</v>
      </c>
      <c r="D39" s="14"/>
      <c r="E39" s="15">
        <v>0</v>
      </c>
      <c r="F39" s="16"/>
      <c r="G39" s="15">
        <v>0</v>
      </c>
      <c r="H39" s="16"/>
      <c r="I39" s="16">
        <v>0</v>
      </c>
      <c r="J39" s="16"/>
      <c r="K39" s="16">
        <v>0</v>
      </c>
    </row>
    <row r="40" spans="1:11">
      <c r="A40" s="4" t="s">
        <v>148</v>
      </c>
      <c r="B40" s="13">
        <v>2</v>
      </c>
      <c r="C40" s="13" t="s">
        <v>147</v>
      </c>
      <c r="D40" s="14"/>
      <c r="E40" s="15">
        <v>0</v>
      </c>
      <c r="F40" s="16"/>
      <c r="G40" s="15">
        <v>0</v>
      </c>
      <c r="H40" s="16"/>
      <c r="I40" s="16">
        <v>0</v>
      </c>
      <c r="J40" s="16"/>
      <c r="K40" s="16">
        <v>0</v>
      </c>
    </row>
    <row r="41" spans="1:11">
      <c r="A41" s="4" t="s">
        <v>148</v>
      </c>
      <c r="B41" s="13">
        <v>3</v>
      </c>
      <c r="C41" s="13" t="s">
        <v>147</v>
      </c>
      <c r="D41" s="14"/>
      <c r="E41" s="15">
        <v>0</v>
      </c>
      <c r="F41" s="16"/>
      <c r="G41" s="15">
        <v>0</v>
      </c>
      <c r="H41" s="16"/>
      <c r="I41" s="16">
        <v>0</v>
      </c>
      <c r="J41" s="16"/>
      <c r="K41" s="16">
        <v>0</v>
      </c>
    </row>
    <row r="42" spans="1:11">
      <c r="A42" s="4" t="s">
        <v>148</v>
      </c>
      <c r="B42" s="13">
        <v>5</v>
      </c>
      <c r="C42" s="13" t="s">
        <v>147</v>
      </c>
      <c r="D42" s="14"/>
      <c r="E42" s="15">
        <v>0</v>
      </c>
      <c r="F42" s="16"/>
      <c r="G42" s="15">
        <v>0</v>
      </c>
      <c r="H42" s="16"/>
      <c r="I42" s="16">
        <v>0</v>
      </c>
      <c r="J42" s="16"/>
      <c r="K42" s="16">
        <v>0</v>
      </c>
    </row>
    <row r="43" spans="1:11">
      <c r="A43" s="4" t="s">
        <v>148</v>
      </c>
      <c r="B43" s="13">
        <v>6</v>
      </c>
      <c r="C43" s="13" t="s">
        <v>147</v>
      </c>
      <c r="D43" s="14"/>
      <c r="E43" s="15">
        <f>E42</f>
        <v>0</v>
      </c>
      <c r="F43" s="16"/>
      <c r="G43" s="15">
        <f>G42</f>
        <v>0</v>
      </c>
      <c r="H43" s="16"/>
      <c r="I43" s="16">
        <f>+I42</f>
        <v>0</v>
      </c>
      <c r="J43" s="16"/>
      <c r="K43" s="16">
        <v>0</v>
      </c>
    </row>
    <row r="44" spans="1:11">
      <c r="A44" s="4" t="s">
        <v>149</v>
      </c>
      <c r="B44" s="13"/>
      <c r="C44" s="13" t="s">
        <v>147</v>
      </c>
      <c r="D44" s="14"/>
      <c r="E44" s="15">
        <v>0</v>
      </c>
      <c r="F44" s="16"/>
      <c r="G44" s="15">
        <v>0</v>
      </c>
      <c r="H44" s="16"/>
      <c r="I44" s="16">
        <v>6014756.5800000001</v>
      </c>
      <c r="J44" s="16"/>
      <c r="K44" s="16">
        <v>0</v>
      </c>
    </row>
    <row r="45" spans="1:11">
      <c r="A45" s="4" t="s">
        <v>150</v>
      </c>
      <c r="B45" s="13"/>
      <c r="C45" s="13" t="s">
        <v>147</v>
      </c>
      <c r="D45" s="14"/>
      <c r="E45" s="15">
        <v>0</v>
      </c>
      <c r="F45" s="16"/>
      <c r="G45" s="15">
        <v>0</v>
      </c>
      <c r="H45" s="16"/>
      <c r="I45" s="16">
        <v>425753.26</v>
      </c>
      <c r="J45" s="16"/>
      <c r="K45" s="16">
        <v>0</v>
      </c>
    </row>
    <row r="46" spans="1:11" ht="13.5" thickBot="1">
      <c r="A46" s="22" t="s">
        <v>151</v>
      </c>
      <c r="C46" s="23" t="s">
        <v>147</v>
      </c>
      <c r="D46" s="19"/>
      <c r="E46" s="36">
        <f>SUM(E38:E45)</f>
        <v>0</v>
      </c>
      <c r="F46" s="16"/>
      <c r="G46" s="36">
        <f>SUM(G38:G45)</f>
        <v>0</v>
      </c>
      <c r="H46" s="16"/>
      <c r="I46" s="36">
        <f>SUM(I38:I45)</f>
        <v>6440509.8399999999</v>
      </c>
      <c r="J46" s="16"/>
      <c r="K46" s="36">
        <f>SUM(K38:K45)</f>
        <v>0</v>
      </c>
    </row>
    <row r="47" spans="1:11" ht="13" thickTop="1">
      <c r="B47" s="13"/>
      <c r="C47" s="13"/>
      <c r="D47" s="19"/>
      <c r="E47" s="19"/>
      <c r="F47" s="16"/>
      <c r="G47" s="19"/>
      <c r="H47" s="16"/>
      <c r="I47" s="16"/>
      <c r="J47" s="16"/>
      <c r="K47" s="16"/>
    </row>
    <row r="48" spans="1:11" ht="13.5" thickBot="1">
      <c r="A48" s="5" t="s">
        <v>152</v>
      </c>
      <c r="B48" s="13"/>
      <c r="C48" s="13"/>
      <c r="E48" s="25"/>
      <c r="G48" s="25"/>
    </row>
    <row r="49" spans="1:11" ht="12" customHeight="1">
      <c r="A49" s="4" t="s">
        <v>153</v>
      </c>
      <c r="B49" s="13" t="s">
        <v>21</v>
      </c>
      <c r="C49" s="13" t="s">
        <v>147</v>
      </c>
      <c r="D49" s="37"/>
      <c r="E49" s="19">
        <v>7476075</v>
      </c>
      <c r="F49" s="15"/>
      <c r="G49" s="19">
        <v>3128889</v>
      </c>
      <c r="H49" s="15"/>
      <c r="I49" s="15">
        <v>2051557.72</v>
      </c>
      <c r="J49" s="15"/>
      <c r="K49" s="19">
        <v>0</v>
      </c>
    </row>
    <row r="50" spans="1:11">
      <c r="A50" s="4" t="s">
        <v>154</v>
      </c>
      <c r="B50" s="13">
        <v>5</v>
      </c>
      <c r="C50" s="13" t="s">
        <v>147</v>
      </c>
      <c r="D50" s="37"/>
      <c r="E50" s="19">
        <v>-74344.440000000177</v>
      </c>
      <c r="F50" s="15"/>
      <c r="G50" s="19">
        <v>1118302.17</v>
      </c>
      <c r="H50" s="15"/>
      <c r="I50" s="15">
        <v>91472745.441492602</v>
      </c>
      <c r="J50" s="15"/>
      <c r="K50" s="19">
        <v>0</v>
      </c>
    </row>
    <row r="51" spans="1:11">
      <c r="A51" s="4" t="s">
        <v>154</v>
      </c>
      <c r="B51" s="13">
        <v>6</v>
      </c>
      <c r="C51" s="13" t="s">
        <v>147</v>
      </c>
      <c r="D51" s="37"/>
      <c r="E51" s="19">
        <v>845279.47</v>
      </c>
      <c r="F51" s="15"/>
      <c r="G51" s="19">
        <v>1608298.27</v>
      </c>
      <c r="H51" s="15"/>
      <c r="I51" s="15">
        <v>223143842.85850745</v>
      </c>
      <c r="J51" s="15"/>
      <c r="K51" s="19">
        <v>0</v>
      </c>
    </row>
    <row r="52" spans="1:11">
      <c r="A52" s="4" t="s">
        <v>155</v>
      </c>
      <c r="B52" s="13">
        <v>1</v>
      </c>
      <c r="C52" s="13" t="s">
        <v>147</v>
      </c>
      <c r="D52" s="37"/>
      <c r="E52" s="19">
        <v>1075918.72</v>
      </c>
      <c r="F52" s="15"/>
      <c r="G52" s="19">
        <v>968762.22499999998</v>
      </c>
      <c r="H52" s="15"/>
      <c r="I52" s="15">
        <v>4972584.2799999993</v>
      </c>
      <c r="J52" s="15"/>
      <c r="K52" s="19">
        <v>0</v>
      </c>
    </row>
    <row r="53" spans="1:11">
      <c r="A53" s="4" t="str">
        <f>+A52</f>
        <v xml:space="preserve">Kanawha River Generating Plant </v>
      </c>
      <c r="B53" s="13">
        <v>2</v>
      </c>
      <c r="C53" s="13" t="s">
        <v>147</v>
      </c>
      <c r="D53" s="37"/>
      <c r="E53" s="19">
        <f>E52</f>
        <v>1075918.72</v>
      </c>
      <c r="F53" s="15"/>
      <c r="G53" s="19">
        <v>968762.22499999998</v>
      </c>
      <c r="H53" s="15"/>
      <c r="I53" s="15">
        <f>I52</f>
        <v>4972584.2799999993</v>
      </c>
      <c r="J53" s="15"/>
      <c r="K53" s="19">
        <f>K52</f>
        <v>0</v>
      </c>
    </row>
    <row r="54" spans="1:11">
      <c r="A54" s="4" t="str">
        <f>+A55</f>
        <v>Philip Sporn Generating Plant</v>
      </c>
      <c r="B54" s="13">
        <v>1</v>
      </c>
      <c r="C54" s="13" t="s">
        <v>147</v>
      </c>
      <c r="D54" s="37"/>
      <c r="E54" s="19">
        <v>821224.65999999992</v>
      </c>
      <c r="F54" s="15"/>
      <c r="G54" s="19">
        <v>419048.18</v>
      </c>
      <c r="H54" s="15"/>
      <c r="I54" s="15">
        <v>0</v>
      </c>
      <c r="J54" s="15"/>
      <c r="K54" s="19">
        <v>0</v>
      </c>
    </row>
    <row r="55" spans="1:11">
      <c r="A55" s="4" t="s">
        <v>146</v>
      </c>
      <c r="B55" s="13">
        <v>3</v>
      </c>
      <c r="C55" s="13" t="s">
        <v>147</v>
      </c>
      <c r="D55" s="37"/>
      <c r="E55" s="19">
        <f>E54</f>
        <v>821224.65999999992</v>
      </c>
      <c r="F55" s="15"/>
      <c r="G55" s="19">
        <v>419048.18</v>
      </c>
      <c r="H55" s="15"/>
      <c r="I55" s="15">
        <f>I54</f>
        <v>0</v>
      </c>
      <c r="J55" s="15"/>
      <c r="K55" s="19">
        <f>K54</f>
        <v>0</v>
      </c>
    </row>
    <row r="56" spans="1:11" ht="13.5" thickBot="1">
      <c r="A56" s="22" t="s">
        <v>156</v>
      </c>
      <c r="B56" s="13"/>
      <c r="C56" s="23" t="s">
        <v>147</v>
      </c>
      <c r="D56" s="38"/>
      <c r="E56" s="39">
        <f>SUM(E49:E55)</f>
        <v>12041296.790000001</v>
      </c>
      <c r="F56" s="15"/>
      <c r="G56" s="39">
        <f>SUM(G49:G55)</f>
        <v>8631110.2499999981</v>
      </c>
      <c r="H56" s="15"/>
      <c r="I56" s="39">
        <f>SUM(I49:I55)</f>
        <v>326613314.57999998</v>
      </c>
      <c r="J56" s="40"/>
      <c r="K56" s="40">
        <f>SUM(K49:K55)</f>
        <v>0</v>
      </c>
    </row>
    <row r="57" spans="1:11" ht="13" thickTop="1"/>
    <row r="58" spans="1:11" ht="13.5" thickBot="1">
      <c r="A58" s="5" t="s">
        <v>157</v>
      </c>
      <c r="B58" s="13"/>
      <c r="C58" s="13"/>
      <c r="E58" s="15"/>
      <c r="F58" s="15"/>
      <c r="G58" s="15"/>
      <c r="H58" s="15"/>
      <c r="I58" s="15"/>
      <c r="J58" s="15"/>
      <c r="K58" s="15"/>
    </row>
    <row r="59" spans="1:11">
      <c r="A59" s="4" t="s">
        <v>158</v>
      </c>
      <c r="B59" s="13" t="s">
        <v>21</v>
      </c>
      <c r="C59" s="13" t="s">
        <v>147</v>
      </c>
      <c r="D59" s="37"/>
      <c r="E59" s="19">
        <v>0</v>
      </c>
      <c r="F59" s="15"/>
      <c r="G59" s="15">
        <v>0</v>
      </c>
      <c r="H59" s="15"/>
      <c r="I59" s="15">
        <v>480348.43</v>
      </c>
      <c r="J59" s="15"/>
      <c r="K59" s="19">
        <v>0</v>
      </c>
    </row>
    <row r="60" spans="1:11" ht="13.5" thickBot="1">
      <c r="A60" s="22" t="s">
        <v>159</v>
      </c>
      <c r="B60" s="13"/>
      <c r="C60" s="23" t="s">
        <v>147</v>
      </c>
      <c r="D60" s="38"/>
      <c r="E60" s="39">
        <f>SUM(E59:E59)</f>
        <v>0</v>
      </c>
      <c r="F60" s="15"/>
      <c r="G60" s="39">
        <f>SUM(G59:G59)</f>
        <v>0</v>
      </c>
      <c r="H60" s="15"/>
      <c r="I60" s="39">
        <f>SUM(I59:I59)</f>
        <v>480348.43</v>
      </c>
      <c r="J60" s="15"/>
      <c r="K60" s="40">
        <f>SUM(K59:K59)</f>
        <v>0</v>
      </c>
    </row>
    <row r="61" spans="1:11" ht="13.5" thickTop="1">
      <c r="A61" s="22"/>
      <c r="B61" s="13"/>
      <c r="C61" s="13"/>
      <c r="D61" s="38"/>
      <c r="E61" s="41"/>
      <c r="F61" s="15"/>
      <c r="G61" s="41"/>
      <c r="H61" s="15"/>
      <c r="I61" s="41"/>
      <c r="J61" s="15"/>
      <c r="K61" s="15"/>
    </row>
    <row r="62" spans="1:11" ht="13.5" thickBot="1">
      <c r="A62" s="5" t="s">
        <v>160</v>
      </c>
      <c r="B62" s="13"/>
      <c r="C62" s="13"/>
      <c r="D62" s="13"/>
      <c r="E62" s="15"/>
      <c r="F62" s="15"/>
      <c r="G62" s="15"/>
      <c r="H62" s="15"/>
      <c r="I62" s="15"/>
      <c r="J62" s="15"/>
      <c r="K62" s="15"/>
    </row>
    <row r="63" spans="1:11">
      <c r="A63" s="4" t="s">
        <v>161</v>
      </c>
      <c r="B63" s="13">
        <v>4</v>
      </c>
      <c r="C63" s="13" t="s">
        <v>147</v>
      </c>
      <c r="D63" s="14"/>
      <c r="E63" s="31">
        <v>58959865.700000256</v>
      </c>
      <c r="F63" s="15"/>
      <c r="G63" s="31">
        <v>0</v>
      </c>
      <c r="H63" s="15"/>
      <c r="I63" s="15">
        <v>2789273.35</v>
      </c>
      <c r="J63" s="15"/>
      <c r="K63" s="31">
        <v>0</v>
      </c>
    </row>
    <row r="64" spans="1:11">
      <c r="A64" s="4" t="s">
        <v>162</v>
      </c>
      <c r="B64" s="13"/>
      <c r="C64" s="13" t="s">
        <v>147</v>
      </c>
      <c r="D64" s="14"/>
      <c r="E64" s="31">
        <v>29720051.119999997</v>
      </c>
      <c r="F64" s="15"/>
      <c r="G64" s="31">
        <v>0</v>
      </c>
      <c r="H64" s="15"/>
      <c r="I64" s="31">
        <v>0</v>
      </c>
      <c r="J64" s="15"/>
      <c r="K64" s="31">
        <v>0</v>
      </c>
    </row>
    <row r="65" spans="1:11" ht="13.5" thickBot="1">
      <c r="A65" s="22" t="s">
        <v>163</v>
      </c>
      <c r="B65" s="13"/>
      <c r="C65" s="23" t="s">
        <v>147</v>
      </c>
      <c r="D65" s="38"/>
      <c r="E65" s="39">
        <f>SUM(E63:E64)</f>
        <v>88679916.820000261</v>
      </c>
      <c r="F65" s="15"/>
      <c r="G65" s="39">
        <f>SUM(G63:G64)</f>
        <v>0</v>
      </c>
      <c r="H65" s="15"/>
      <c r="I65" s="39">
        <f>SUM(I63:I64)</f>
        <v>2789273.35</v>
      </c>
      <c r="J65" s="15"/>
      <c r="K65" s="39">
        <f>SUM(K63:K64)</f>
        <v>0</v>
      </c>
    </row>
    <row r="66" spans="1:11" ht="14" thickTop="1" thickBot="1">
      <c r="A66" s="5" t="s">
        <v>164</v>
      </c>
      <c r="B66" s="13"/>
      <c r="C66" s="13"/>
      <c r="E66" s="15"/>
      <c r="F66" s="15"/>
      <c r="G66" s="15"/>
      <c r="H66" s="15"/>
      <c r="I66" s="15"/>
      <c r="J66" s="15"/>
      <c r="K66" s="15"/>
    </row>
    <row r="67" spans="1:11">
      <c r="A67" s="4" t="s">
        <v>165</v>
      </c>
      <c r="B67" s="13">
        <v>2</v>
      </c>
      <c r="C67" s="13" t="s">
        <v>147</v>
      </c>
      <c r="D67" s="14"/>
      <c r="E67" s="42">
        <v>57625191.430000015</v>
      </c>
      <c r="F67" s="15"/>
      <c r="G67" s="42">
        <v>0</v>
      </c>
      <c r="H67" s="15"/>
      <c r="I67" s="15">
        <v>3290332.86</v>
      </c>
      <c r="J67" s="15"/>
      <c r="K67" s="42">
        <v>0</v>
      </c>
    </row>
    <row r="68" spans="1:11">
      <c r="A68" s="4" t="s">
        <v>166</v>
      </c>
      <c r="B68" s="21"/>
      <c r="C68" s="13" t="s">
        <v>147</v>
      </c>
      <c r="D68" s="14"/>
      <c r="E68" s="17">
        <v>99518633.709999979</v>
      </c>
      <c r="G68" s="17">
        <v>0</v>
      </c>
      <c r="I68" s="17">
        <v>5507523.1699999999</v>
      </c>
      <c r="K68" s="17">
        <v>0</v>
      </c>
    </row>
    <row r="69" spans="1:11">
      <c r="A69" s="4" t="s">
        <v>167</v>
      </c>
      <c r="B69" s="13"/>
      <c r="C69" s="13" t="s">
        <v>147</v>
      </c>
      <c r="D69" s="14"/>
      <c r="E69" s="17">
        <v>187630292.28199995</v>
      </c>
      <c r="F69" s="20"/>
      <c r="G69" s="17">
        <v>0</v>
      </c>
      <c r="H69" s="20"/>
      <c r="I69" s="16">
        <v>21097805.279999997</v>
      </c>
      <c r="K69" s="17">
        <v>0</v>
      </c>
    </row>
    <row r="70" spans="1:11">
      <c r="A70" s="4" t="s">
        <v>168</v>
      </c>
      <c r="B70" s="13">
        <v>1</v>
      </c>
      <c r="C70" s="13" t="s">
        <v>147</v>
      </c>
      <c r="D70" s="14"/>
      <c r="E70" s="17">
        <v>409900.76</v>
      </c>
      <c r="G70" s="17">
        <v>391128.76</v>
      </c>
      <c r="I70" s="17">
        <v>0</v>
      </c>
      <c r="K70" s="42">
        <v>0</v>
      </c>
    </row>
    <row r="71" spans="1:11" ht="13.5" thickBot="1">
      <c r="A71" s="22" t="s">
        <v>169</v>
      </c>
      <c r="B71" s="13"/>
      <c r="C71" s="23" t="s">
        <v>147</v>
      </c>
      <c r="D71" s="38"/>
      <c r="E71" s="39">
        <f>SUM(E67:E70)</f>
        <v>345184018.18199992</v>
      </c>
      <c r="F71" s="15"/>
      <c r="G71" s="39">
        <f>SUM(G67:G70)</f>
        <v>391128.76</v>
      </c>
      <c r="H71" s="15"/>
      <c r="I71" s="39">
        <f>SUM(I67:I70)</f>
        <v>29895661.309999995</v>
      </c>
      <c r="J71" s="15"/>
      <c r="K71" s="39">
        <f>SUM(K67:K70)</f>
        <v>0</v>
      </c>
    </row>
    <row r="72" spans="1:11" ht="13.5" thickTop="1" thickBot="1">
      <c r="B72" s="13"/>
      <c r="C72" s="13"/>
      <c r="D72" s="38"/>
      <c r="E72" s="43"/>
      <c r="F72" s="15"/>
      <c r="G72" s="44"/>
      <c r="H72" s="15"/>
      <c r="I72" s="15"/>
      <c r="J72" s="15"/>
      <c r="K72" s="15"/>
    </row>
    <row r="73" spans="1:11" ht="14" thickTop="1" thickBot="1">
      <c r="A73" s="22" t="s">
        <v>170</v>
      </c>
      <c r="B73" s="21"/>
      <c r="C73" s="39" t="s">
        <v>147</v>
      </c>
      <c r="D73" s="38"/>
      <c r="E73" s="39">
        <f>+E71+E60+E56+E65+E77+E46</f>
        <v>445905231.79200017</v>
      </c>
      <c r="F73" s="15"/>
      <c r="G73" s="39">
        <f>+G71+G60+G56+G65+G77+G46</f>
        <v>9022239.0099999979</v>
      </c>
      <c r="H73" s="15"/>
      <c r="I73" s="39">
        <f>+I71+I60+I56+I65+I77+I46</f>
        <v>366219107.50999999</v>
      </c>
      <c r="J73" s="15"/>
      <c r="K73" s="39">
        <f>+K71+K60+K56+K65+K77+K46</f>
        <v>0</v>
      </c>
    </row>
    <row r="74" spans="1:11" ht="13.5" thickTop="1">
      <c r="A74" s="22"/>
      <c r="B74" s="21"/>
      <c r="C74" s="30"/>
      <c r="D74" s="38"/>
      <c r="E74" s="41"/>
      <c r="F74" s="15"/>
      <c r="G74" s="41"/>
      <c r="H74" s="15"/>
      <c r="I74" s="41"/>
      <c r="J74" s="15"/>
      <c r="K74" s="15"/>
    </row>
    <row r="75" spans="1:11" ht="13" thickBot="1">
      <c r="B75" s="13"/>
      <c r="C75" s="13"/>
    </row>
    <row r="76" spans="1:11" s="45" customFormat="1" ht="26.25" customHeight="1">
      <c r="A76" s="143" t="s">
        <v>171</v>
      </c>
      <c r="B76" s="144"/>
      <c r="C76" s="144"/>
      <c r="D76" s="144"/>
      <c r="E76" s="144"/>
      <c r="F76" s="144"/>
      <c r="G76" s="144"/>
      <c r="H76" s="144"/>
      <c r="I76" s="144"/>
      <c r="J76" s="144"/>
      <c r="K76" s="145"/>
    </row>
    <row r="77" spans="1:11" ht="13.5" customHeight="1">
      <c r="A77" s="136" t="s">
        <v>172</v>
      </c>
      <c r="B77" s="137"/>
      <c r="C77" s="137"/>
      <c r="D77" s="137"/>
      <c r="E77" s="137"/>
      <c r="F77" s="137"/>
      <c r="G77" s="137"/>
      <c r="H77" s="137"/>
      <c r="I77" s="137"/>
      <c r="J77" s="137"/>
      <c r="K77" s="138"/>
    </row>
    <row r="78" spans="1:11" ht="12.75" customHeight="1">
      <c r="A78" s="136" t="s">
        <v>173</v>
      </c>
      <c r="B78" s="137"/>
      <c r="C78" s="137"/>
      <c r="D78" s="137"/>
      <c r="E78" s="137"/>
      <c r="F78" s="137"/>
      <c r="G78" s="137"/>
      <c r="H78" s="137"/>
      <c r="I78" s="137"/>
      <c r="J78" s="137"/>
      <c r="K78" s="138"/>
    </row>
    <row r="79" spans="1:11">
      <c r="A79" s="136"/>
      <c r="B79" s="137"/>
      <c r="C79" s="137"/>
      <c r="D79" s="137"/>
      <c r="E79" s="137"/>
      <c r="F79" s="137"/>
      <c r="G79" s="137"/>
      <c r="H79" s="137"/>
      <c r="I79" s="137"/>
      <c r="J79" s="137"/>
      <c r="K79" s="138"/>
    </row>
    <row r="80" spans="1:11" ht="13">
      <c r="A80" s="46" t="s">
        <v>174</v>
      </c>
      <c r="B80" s="22"/>
      <c r="C80" s="22"/>
      <c r="D80" s="22"/>
      <c r="E80" s="22"/>
      <c r="F80" s="22"/>
      <c r="G80" s="22"/>
      <c r="H80" s="22"/>
      <c r="I80" s="22"/>
      <c r="J80" s="22"/>
      <c r="K80" s="47"/>
    </row>
    <row r="81" spans="1:11" ht="12.75" customHeight="1">
      <c r="A81" s="136" t="s">
        <v>175</v>
      </c>
      <c r="B81" s="137"/>
      <c r="C81" s="137"/>
      <c r="D81" s="137"/>
      <c r="E81" s="137"/>
      <c r="F81" s="137"/>
      <c r="G81" s="137"/>
      <c r="H81" s="137"/>
      <c r="I81" s="137"/>
      <c r="J81" s="137"/>
      <c r="K81" s="138"/>
    </row>
    <row r="82" spans="1:11" ht="12.75" customHeight="1">
      <c r="A82" s="136"/>
      <c r="B82" s="137"/>
      <c r="C82" s="137"/>
      <c r="D82" s="137"/>
      <c r="E82" s="137"/>
      <c r="F82" s="137"/>
      <c r="G82" s="137"/>
      <c r="H82" s="137"/>
      <c r="I82" s="137"/>
      <c r="J82" s="137"/>
      <c r="K82" s="138"/>
    </row>
    <row r="83" spans="1:11" ht="13" customHeight="1" thickBot="1">
      <c r="A83" s="139"/>
      <c r="B83" s="140"/>
      <c r="C83" s="140"/>
      <c r="D83" s="140"/>
      <c r="E83" s="140"/>
      <c r="F83" s="140"/>
      <c r="G83" s="140"/>
      <c r="H83" s="140"/>
      <c r="I83" s="140"/>
      <c r="J83" s="140"/>
      <c r="K83" s="141"/>
    </row>
  </sheetData>
  <mergeCells count="9">
    <mergeCell ref="A77:K77"/>
    <mergeCell ref="A78:K79"/>
    <mergeCell ref="A81:K83"/>
    <mergeCell ref="A1:K1"/>
    <mergeCell ref="A2:K2"/>
    <mergeCell ref="A30:K30"/>
    <mergeCell ref="A31:K31"/>
    <mergeCell ref="A32:K32"/>
    <mergeCell ref="A76:K76"/>
  </mergeCells>
  <pageMargins left="0.7" right="0.7" top="0.75" bottom="0.75" header="0.3" footer="0.3"/>
  <pageSetup scale="55" orientation="portrait" r:id="rId1"/>
  <headerFooter>
    <oddHeader xml:space="preserve">&amp;RIndiana Michigan Power Company
WP AJW-3
</oddHeader>
  </headerFooter>
  <rowBreaks count="1" manualBreakCount="1">
    <brk id="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25506-C311-4F88-AB9A-DAD379749594}">
  <sheetPr>
    <pageSetUpPr fitToPage="1"/>
  </sheetPr>
  <dimension ref="A1:J172"/>
  <sheetViews>
    <sheetView view="pageLayout" topLeftCell="A6" zoomScale="40" zoomScaleNormal="100" zoomScalePageLayoutView="40" workbookViewId="0">
      <selection activeCell="B11" sqref="B11"/>
    </sheetView>
  </sheetViews>
  <sheetFormatPr defaultColWidth="9.1796875" defaultRowHeight="12.75" customHeight="1"/>
  <cols>
    <col min="1" max="1" width="27.7265625" style="68" bestFit="1" customWidth="1"/>
    <col min="2" max="2" width="17.54296875" style="68" bestFit="1" customWidth="1"/>
    <col min="3" max="3" width="15" style="68" bestFit="1" customWidth="1"/>
    <col min="4" max="4" width="13.7265625" style="68" bestFit="1" customWidth="1"/>
    <col min="5" max="5" width="16.26953125" style="68" bestFit="1" customWidth="1"/>
    <col min="6" max="6" width="13.7265625" style="68" bestFit="1" customWidth="1"/>
    <col min="7" max="7" width="18.81640625" style="68" bestFit="1" customWidth="1"/>
    <col min="8" max="8" width="26.453125" style="68" bestFit="1" customWidth="1"/>
    <col min="9" max="9" width="18.81640625" style="68" bestFit="1" customWidth="1"/>
    <col min="10" max="10" width="17.54296875" style="68" bestFit="1" customWidth="1"/>
    <col min="11" max="16384" width="9.1796875" style="68"/>
  </cols>
  <sheetData>
    <row r="1" spans="1:10" ht="21" customHeight="1">
      <c r="A1" s="150"/>
      <c r="B1" s="150"/>
      <c r="C1" s="150"/>
      <c r="D1" s="150"/>
      <c r="E1" s="153" t="s">
        <v>176</v>
      </c>
      <c r="F1" s="150"/>
      <c r="G1" s="150"/>
      <c r="H1" s="69" t="s">
        <v>82</v>
      </c>
    </row>
    <row r="2" spans="1:10" ht="12.5">
      <c r="A2" s="150"/>
      <c r="B2" s="150"/>
      <c r="C2" s="150"/>
      <c r="D2" s="150"/>
      <c r="E2" s="150"/>
      <c r="F2" s="150"/>
      <c r="G2" s="150"/>
      <c r="H2" s="154" t="s">
        <v>177</v>
      </c>
      <c r="I2" s="150"/>
      <c r="J2" s="150"/>
    </row>
    <row r="3" spans="1:10" ht="12.5">
      <c r="A3" s="150"/>
      <c r="B3" s="150"/>
      <c r="C3" s="150"/>
      <c r="D3" s="150"/>
      <c r="E3" s="150"/>
      <c r="F3" s="150"/>
      <c r="G3" s="150"/>
      <c r="H3" s="155" t="s">
        <v>178</v>
      </c>
      <c r="I3" s="150"/>
      <c r="J3" s="150"/>
    </row>
    <row r="4" spans="1:10" ht="12.5">
      <c r="A4" s="150"/>
      <c r="B4" s="150"/>
      <c r="C4" s="150"/>
      <c r="D4" s="150"/>
      <c r="E4" s="150"/>
      <c r="F4" s="150"/>
      <c r="G4" s="150"/>
      <c r="H4" s="155" t="s">
        <v>179</v>
      </c>
      <c r="I4" s="150"/>
      <c r="J4" s="150"/>
    </row>
    <row r="5" spans="1:10" ht="13.5" thickBot="1">
      <c r="A5" s="156" t="s">
        <v>180</v>
      </c>
      <c r="B5" s="157"/>
      <c r="C5" s="157"/>
      <c r="D5" s="157"/>
      <c r="E5" s="157"/>
      <c r="F5" s="157"/>
      <c r="G5" s="157"/>
      <c r="H5" s="157"/>
      <c r="I5" s="157"/>
      <c r="J5" s="157"/>
    </row>
    <row r="6" spans="1:10" ht="12.5">
      <c r="A6" s="151" t="s">
        <v>181</v>
      </c>
      <c r="B6" s="151" t="s">
        <v>182</v>
      </c>
      <c r="C6" s="151" t="s">
        <v>183</v>
      </c>
      <c r="D6" s="151" t="s">
        <v>76</v>
      </c>
      <c r="E6" s="151" t="s">
        <v>184</v>
      </c>
      <c r="F6" s="151" t="s">
        <v>185</v>
      </c>
      <c r="G6" s="151" t="s">
        <v>186</v>
      </c>
      <c r="H6" s="151" t="s">
        <v>187</v>
      </c>
      <c r="I6" s="151" t="s">
        <v>188</v>
      </c>
      <c r="J6" s="151" t="s">
        <v>189</v>
      </c>
    </row>
    <row r="7" spans="1:10" ht="13" thickBot="1">
      <c r="A7" s="152"/>
      <c r="B7" s="152"/>
      <c r="C7" s="152"/>
      <c r="D7" s="152"/>
      <c r="E7" s="152"/>
      <c r="F7" s="152"/>
      <c r="G7" s="152"/>
      <c r="H7" s="152"/>
      <c r="I7" s="152"/>
      <c r="J7" s="152"/>
    </row>
    <row r="8" spans="1:10" ht="13" thickBot="1">
      <c r="A8" s="77" t="s">
        <v>190</v>
      </c>
      <c r="B8" s="78">
        <v>215</v>
      </c>
      <c r="C8" s="77" t="s">
        <v>191</v>
      </c>
      <c r="D8" s="77" t="s">
        <v>192</v>
      </c>
      <c r="E8" s="76">
        <v>31391.781999999999</v>
      </c>
      <c r="F8" s="75">
        <v>0</v>
      </c>
      <c r="G8" s="75">
        <v>31395.618999999999</v>
      </c>
      <c r="H8" s="75">
        <v>31395.618999999999</v>
      </c>
      <c r="I8" s="75">
        <v>0</v>
      </c>
      <c r="J8" s="75">
        <v>6.0259999999999998</v>
      </c>
    </row>
    <row r="9" spans="1:10" ht="13" thickBot="1">
      <c r="A9" s="72" t="s">
        <v>193</v>
      </c>
      <c r="B9" s="73">
        <v>214</v>
      </c>
      <c r="C9" s="72" t="s">
        <v>191</v>
      </c>
      <c r="D9" s="72" t="s">
        <v>192</v>
      </c>
      <c r="E9" s="71">
        <v>15336.434999999999</v>
      </c>
      <c r="F9" s="70">
        <v>0</v>
      </c>
      <c r="G9" s="70">
        <v>15338.536</v>
      </c>
      <c r="H9" s="70">
        <v>15338.536</v>
      </c>
      <c r="I9" s="70">
        <v>0</v>
      </c>
      <c r="J9" s="70">
        <v>2.8490000000000002</v>
      </c>
    </row>
    <row r="10" spans="1:10" ht="13" thickBot="1">
      <c r="A10" s="72" t="s">
        <v>194</v>
      </c>
      <c r="B10" s="73">
        <v>211</v>
      </c>
      <c r="C10" s="72" t="s">
        <v>191</v>
      </c>
      <c r="D10" s="72" t="s">
        <v>192</v>
      </c>
      <c r="E10" s="71">
        <v>3984.2829999999999</v>
      </c>
      <c r="F10" s="70">
        <v>0</v>
      </c>
      <c r="G10" s="70">
        <v>3984.8910000000001</v>
      </c>
      <c r="H10" s="70">
        <v>3984.8910000000001</v>
      </c>
      <c r="I10" s="70">
        <v>0</v>
      </c>
      <c r="J10" s="70">
        <v>0.86799999999999999</v>
      </c>
    </row>
    <row r="11" spans="1:10" ht="13" thickBot="1">
      <c r="A11" s="72" t="s">
        <v>195</v>
      </c>
      <c r="B11" s="73">
        <v>200</v>
      </c>
      <c r="C11" s="72" t="s">
        <v>196</v>
      </c>
      <c r="D11" s="72" t="s">
        <v>197</v>
      </c>
      <c r="E11" s="71">
        <v>8553857.6180000007</v>
      </c>
      <c r="F11" s="70">
        <v>283524.59999999998</v>
      </c>
      <c r="G11" s="70">
        <v>8279906</v>
      </c>
      <c r="H11" s="70">
        <v>8279906</v>
      </c>
      <c r="I11" s="70">
        <v>0</v>
      </c>
      <c r="J11" s="70">
        <v>1093.6420000000001</v>
      </c>
    </row>
    <row r="12" spans="1:10" ht="13" thickBot="1">
      <c r="A12" s="72" t="s">
        <v>198</v>
      </c>
      <c r="B12" s="73">
        <v>199</v>
      </c>
      <c r="C12" s="72" t="s">
        <v>196</v>
      </c>
      <c r="D12" s="72" t="s">
        <v>197</v>
      </c>
      <c r="E12" s="71">
        <v>10664871.486</v>
      </c>
      <c r="F12" s="70">
        <v>303571.22399999999</v>
      </c>
      <c r="G12" s="70">
        <v>10362504.304</v>
      </c>
      <c r="H12" s="70">
        <v>10362504.304</v>
      </c>
      <c r="I12" s="70">
        <v>0</v>
      </c>
      <c r="J12" s="70">
        <v>1266.1510000000001</v>
      </c>
    </row>
    <row r="13" spans="1:10" ht="13" thickBot="1">
      <c r="A13" s="72" t="s">
        <v>199</v>
      </c>
      <c r="B13" s="73">
        <v>147830</v>
      </c>
      <c r="C13" s="88" t="s">
        <v>200</v>
      </c>
      <c r="D13" s="72" t="s">
        <v>200</v>
      </c>
      <c r="E13" s="71">
        <v>3267.8939999999998</v>
      </c>
      <c r="F13" s="70">
        <v>0</v>
      </c>
      <c r="G13" s="70">
        <v>3267.8939999999998</v>
      </c>
      <c r="H13" s="70">
        <v>3267.8939999999998</v>
      </c>
      <c r="I13" s="70">
        <v>0</v>
      </c>
      <c r="J13" s="70">
        <v>2.5099999999999998</v>
      </c>
    </row>
    <row r="14" spans="1:10" ht="13" thickBot="1">
      <c r="A14" s="72" t="s">
        <v>201</v>
      </c>
      <c r="B14" s="73">
        <v>213</v>
      </c>
      <c r="C14" s="72" t="s">
        <v>191</v>
      </c>
      <c r="D14" s="72" t="s">
        <v>192</v>
      </c>
      <c r="E14" s="71">
        <v>11059.75</v>
      </c>
      <c r="F14" s="70">
        <v>0</v>
      </c>
      <c r="G14" s="70">
        <v>11061.597</v>
      </c>
      <c r="H14" s="70">
        <v>11061.597</v>
      </c>
      <c r="I14" s="70">
        <v>0</v>
      </c>
      <c r="J14" s="70">
        <v>2.2890000000000001</v>
      </c>
    </row>
    <row r="15" spans="1:10" ht="13" thickBot="1">
      <c r="A15" s="72"/>
      <c r="B15" s="73"/>
      <c r="C15" s="72"/>
      <c r="D15" s="72"/>
      <c r="E15" s="74"/>
      <c r="F15" s="70"/>
      <c r="G15" s="70"/>
      <c r="H15" s="70"/>
      <c r="I15" s="70"/>
      <c r="J15" s="70"/>
    </row>
    <row r="16" spans="1:10" ht="13" thickBot="1">
      <c r="A16" s="72"/>
      <c r="B16" s="73"/>
      <c r="C16" s="72"/>
      <c r="D16" s="72"/>
      <c r="E16" s="74"/>
      <c r="F16" s="70"/>
      <c r="G16" s="70"/>
      <c r="H16" s="70"/>
      <c r="I16" s="70"/>
      <c r="J16" s="70"/>
    </row>
    <row r="17" spans="1:10" ht="13" thickBot="1">
      <c r="A17" s="72"/>
      <c r="B17" s="73"/>
      <c r="C17" s="72"/>
      <c r="D17" s="72"/>
      <c r="E17" s="74"/>
      <c r="F17" s="70"/>
      <c r="G17" s="70"/>
      <c r="H17" s="70"/>
      <c r="I17" s="70"/>
      <c r="J17" s="70"/>
    </row>
    <row r="18" spans="1:10" ht="13" thickBot="1">
      <c r="A18" s="72"/>
      <c r="B18" s="73"/>
      <c r="C18" s="72"/>
      <c r="D18" s="72"/>
      <c r="E18" s="74"/>
      <c r="F18" s="70"/>
      <c r="G18" s="70"/>
      <c r="H18" s="70"/>
      <c r="I18" s="70"/>
      <c r="J18" s="70"/>
    </row>
    <row r="19" spans="1:10" ht="13" thickBot="1">
      <c r="A19" s="72"/>
      <c r="B19" s="73"/>
      <c r="C19" s="72"/>
      <c r="D19" s="72"/>
      <c r="E19" s="74"/>
      <c r="F19" s="70"/>
      <c r="G19" s="70"/>
      <c r="H19" s="70"/>
      <c r="I19" s="70"/>
      <c r="J19" s="70"/>
    </row>
    <row r="20" spans="1:10" ht="13" thickBot="1">
      <c r="A20" s="72"/>
      <c r="B20" s="73"/>
      <c r="C20" s="72"/>
      <c r="D20" s="72"/>
      <c r="E20" s="74"/>
      <c r="F20" s="70"/>
      <c r="G20" s="70"/>
      <c r="H20" s="70"/>
      <c r="I20" s="70"/>
      <c r="J20" s="70"/>
    </row>
    <row r="21" spans="1:10" ht="13" thickBot="1">
      <c r="A21" s="72"/>
      <c r="B21" s="73"/>
      <c r="C21" s="72"/>
      <c r="D21" s="72"/>
      <c r="E21" s="74"/>
      <c r="F21" s="70"/>
      <c r="G21" s="70"/>
      <c r="H21" s="70"/>
      <c r="I21" s="70"/>
      <c r="J21" s="70"/>
    </row>
    <row r="22" spans="1:10" ht="13" thickBot="1">
      <c r="A22" s="72"/>
      <c r="B22" s="73"/>
      <c r="C22" s="72"/>
      <c r="D22" s="72"/>
      <c r="E22" s="74"/>
      <c r="F22" s="70"/>
      <c r="G22" s="70"/>
      <c r="H22" s="70"/>
      <c r="I22" s="70"/>
      <c r="J22" s="70"/>
    </row>
    <row r="23" spans="1:10" ht="13" thickBot="1">
      <c r="A23" s="72"/>
      <c r="B23" s="73"/>
      <c r="C23" s="72"/>
      <c r="D23" s="72"/>
      <c r="E23" s="74"/>
      <c r="F23" s="70"/>
      <c r="G23" s="70"/>
      <c r="H23" s="70"/>
      <c r="I23" s="70"/>
      <c r="J23" s="70"/>
    </row>
    <row r="24" spans="1:10" ht="13" thickBot="1">
      <c r="A24" s="72"/>
      <c r="B24" s="73"/>
      <c r="C24" s="72"/>
      <c r="D24" s="72"/>
      <c r="E24" s="71"/>
      <c r="F24" s="70"/>
      <c r="G24" s="70"/>
      <c r="H24" s="70"/>
      <c r="I24" s="70"/>
      <c r="J24" s="70"/>
    </row>
    <row r="25" spans="1:10" ht="13" thickBot="1">
      <c r="A25" s="72"/>
      <c r="B25" s="73"/>
      <c r="C25" s="72"/>
      <c r="D25" s="72"/>
      <c r="E25" s="74"/>
      <c r="F25" s="70"/>
      <c r="G25" s="70"/>
      <c r="H25" s="70"/>
      <c r="I25" s="70"/>
      <c r="J25" s="70"/>
    </row>
    <row r="26" spans="1:10" ht="13" thickBot="1">
      <c r="A26" s="72"/>
      <c r="B26" s="73"/>
      <c r="C26" s="72"/>
      <c r="D26" s="72"/>
      <c r="E26" s="74"/>
      <c r="F26" s="70"/>
      <c r="G26" s="70"/>
      <c r="H26" s="70"/>
      <c r="I26" s="70"/>
      <c r="J26" s="70"/>
    </row>
    <row r="27" spans="1:10" ht="13" thickBot="1">
      <c r="A27" s="72"/>
      <c r="B27" s="73"/>
      <c r="C27" s="72"/>
      <c r="D27" s="72"/>
      <c r="E27" s="74"/>
      <c r="F27" s="70"/>
      <c r="G27" s="70"/>
      <c r="H27" s="70"/>
      <c r="I27" s="70"/>
      <c r="J27" s="70"/>
    </row>
    <row r="28" spans="1:10" ht="13" thickBot="1">
      <c r="A28" s="72"/>
      <c r="B28" s="73"/>
      <c r="C28" s="72"/>
      <c r="D28" s="72"/>
      <c r="E28" s="74"/>
      <c r="F28" s="70"/>
      <c r="G28" s="70"/>
      <c r="H28" s="70"/>
      <c r="I28" s="70"/>
      <c r="J28" s="70"/>
    </row>
    <row r="29" spans="1:10" ht="13" thickBot="1">
      <c r="A29" s="72"/>
      <c r="B29" s="73"/>
      <c r="C29" s="72"/>
      <c r="D29" s="72"/>
      <c r="E29" s="74"/>
      <c r="F29" s="70"/>
      <c r="G29" s="70"/>
      <c r="H29" s="70"/>
      <c r="I29" s="70"/>
      <c r="J29" s="70"/>
    </row>
    <row r="30" spans="1:10" ht="13" thickBot="1">
      <c r="A30" s="72"/>
      <c r="B30" s="73"/>
      <c r="C30" s="72"/>
      <c r="D30" s="72"/>
      <c r="E30" s="74"/>
      <c r="F30" s="70"/>
      <c r="G30" s="70"/>
      <c r="H30" s="70"/>
      <c r="I30" s="70"/>
      <c r="J30" s="70"/>
    </row>
    <row r="31" spans="1:10" ht="13" thickBot="1">
      <c r="A31" s="72"/>
      <c r="B31" s="73"/>
      <c r="C31" s="72"/>
      <c r="D31" s="72"/>
      <c r="E31" s="74"/>
      <c r="F31" s="70"/>
      <c r="G31" s="70"/>
      <c r="H31" s="70"/>
      <c r="I31" s="70"/>
      <c r="J31" s="70"/>
    </row>
    <row r="32" spans="1:10" ht="13" thickBot="1">
      <c r="A32" s="72"/>
      <c r="B32" s="73"/>
      <c r="C32" s="72"/>
      <c r="D32" s="72"/>
      <c r="E32" s="74"/>
      <c r="F32" s="70"/>
      <c r="G32" s="70"/>
      <c r="H32" s="70"/>
      <c r="I32" s="70"/>
      <c r="J32" s="70"/>
    </row>
    <row r="33" spans="1:10" ht="13" thickBot="1">
      <c r="A33" s="72"/>
      <c r="B33" s="73"/>
      <c r="C33" s="72"/>
      <c r="D33" s="72"/>
      <c r="E33" s="74"/>
      <c r="F33" s="70"/>
      <c r="G33" s="70"/>
      <c r="H33" s="70"/>
      <c r="I33" s="70"/>
      <c r="J33" s="70"/>
    </row>
    <row r="34" spans="1:10" ht="13" thickBot="1">
      <c r="A34" s="72"/>
      <c r="B34" s="73"/>
      <c r="C34" s="72"/>
      <c r="D34" s="72"/>
      <c r="E34" s="74"/>
      <c r="F34" s="70"/>
      <c r="G34" s="70"/>
      <c r="H34" s="70"/>
      <c r="I34" s="70"/>
      <c r="J34" s="70"/>
    </row>
    <row r="35" spans="1:10" ht="13" thickBot="1">
      <c r="A35" s="72"/>
      <c r="B35" s="73"/>
      <c r="C35" s="72"/>
      <c r="D35" s="72"/>
      <c r="E35" s="74"/>
      <c r="F35" s="70"/>
      <c r="G35" s="70"/>
      <c r="H35" s="70"/>
      <c r="I35" s="70"/>
      <c r="J35" s="70"/>
    </row>
    <row r="36" spans="1:10" ht="13" thickBot="1">
      <c r="A36" s="72"/>
      <c r="B36" s="73"/>
      <c r="C36" s="72"/>
      <c r="D36" s="72"/>
      <c r="E36" s="74"/>
      <c r="F36" s="70"/>
      <c r="G36" s="70"/>
      <c r="H36" s="70"/>
      <c r="I36" s="70"/>
      <c r="J36" s="70"/>
    </row>
    <row r="37" spans="1:10" ht="13" thickBot="1">
      <c r="A37" s="72"/>
      <c r="B37" s="73"/>
      <c r="C37" s="72"/>
      <c r="D37" s="72"/>
      <c r="E37" s="74"/>
      <c r="F37" s="70"/>
      <c r="G37" s="70"/>
      <c r="H37" s="70"/>
      <c r="I37" s="70"/>
      <c r="J37" s="70"/>
    </row>
    <row r="38" spans="1:10" ht="13" thickBot="1">
      <c r="A38" s="72"/>
      <c r="B38" s="73"/>
      <c r="C38" s="72"/>
      <c r="D38" s="72"/>
      <c r="E38" s="74"/>
      <c r="F38" s="70"/>
      <c r="G38" s="70"/>
      <c r="H38" s="70"/>
      <c r="I38" s="70"/>
      <c r="J38" s="70"/>
    </row>
    <row r="39" spans="1:10" ht="13" thickBot="1">
      <c r="A39" s="72" t="s">
        <v>202</v>
      </c>
      <c r="B39" s="73">
        <v>210</v>
      </c>
      <c r="C39" s="72" t="s">
        <v>191</v>
      </c>
      <c r="D39" s="72" t="s">
        <v>192</v>
      </c>
      <c r="E39" s="71">
        <v>6096.3710000000001</v>
      </c>
      <c r="F39" s="70">
        <v>0</v>
      </c>
      <c r="G39" s="70">
        <v>6097.08</v>
      </c>
      <c r="H39" s="70">
        <v>6097.08</v>
      </c>
      <c r="I39" s="70">
        <v>0</v>
      </c>
      <c r="J39" s="70">
        <v>1.411</v>
      </c>
    </row>
    <row r="40" spans="1:10" ht="13" thickBot="1">
      <c r="A40" s="72" t="s">
        <v>203</v>
      </c>
      <c r="B40" s="73">
        <v>192830</v>
      </c>
      <c r="C40" s="88" t="s">
        <v>200</v>
      </c>
      <c r="D40" s="72" t="s">
        <v>200</v>
      </c>
      <c r="E40" s="71">
        <v>8024.6970000000001</v>
      </c>
      <c r="F40" s="70">
        <v>0</v>
      </c>
      <c r="G40" s="70">
        <v>8024.6970000000001</v>
      </c>
      <c r="H40" s="70">
        <v>8024.6970000000001</v>
      </c>
      <c r="I40" s="70">
        <v>0</v>
      </c>
      <c r="J40" s="70">
        <v>5.492</v>
      </c>
    </row>
    <row r="41" spans="1:10" ht="13" thickBot="1">
      <c r="A41" s="72" t="s">
        <v>204</v>
      </c>
      <c r="B41" s="73">
        <v>21586</v>
      </c>
      <c r="C41" s="72" t="s">
        <v>196</v>
      </c>
      <c r="D41" s="72" t="s">
        <v>205</v>
      </c>
      <c r="E41" s="71">
        <v>742542.446</v>
      </c>
      <c r="F41" s="70">
        <v>89675.691999999995</v>
      </c>
      <c r="G41" s="70">
        <v>681437.18099999998</v>
      </c>
      <c r="H41" s="70">
        <v>704317.96</v>
      </c>
      <c r="I41" s="70">
        <v>-22880.778999999999</v>
      </c>
      <c r="J41" s="70">
        <v>630.83199999999999</v>
      </c>
    </row>
    <row r="42" spans="1:10" ht="13" thickBot="1">
      <c r="A42" s="72" t="s">
        <v>206</v>
      </c>
      <c r="B42" s="73">
        <v>201</v>
      </c>
      <c r="C42" s="72" t="s">
        <v>196</v>
      </c>
      <c r="D42" s="72" t="s">
        <v>205</v>
      </c>
      <c r="E42" s="71">
        <v>767470.23699999996</v>
      </c>
      <c r="F42" s="70">
        <v>92714.229000000007</v>
      </c>
      <c r="G42" s="70">
        <v>704317.95700000005</v>
      </c>
      <c r="H42" s="70">
        <v>704317.95700000005</v>
      </c>
      <c r="I42" s="70">
        <v>0</v>
      </c>
      <c r="J42" s="70">
        <v>630.83199999999999</v>
      </c>
    </row>
    <row r="43" spans="1:10" ht="13" thickBot="1">
      <c r="A43" s="72" t="s">
        <v>207</v>
      </c>
      <c r="B43" s="73">
        <v>207</v>
      </c>
      <c r="C43" s="72" t="s">
        <v>196</v>
      </c>
      <c r="D43" s="72" t="s">
        <v>205</v>
      </c>
      <c r="E43" s="71">
        <v>1534940.469</v>
      </c>
      <c r="F43" s="70">
        <v>185428.465</v>
      </c>
      <c r="G43" s="70">
        <v>1408635.9169999999</v>
      </c>
      <c r="H43" s="70">
        <v>1408635.9169999999</v>
      </c>
      <c r="I43" s="70">
        <v>0</v>
      </c>
      <c r="J43" s="70">
        <v>1261.664</v>
      </c>
    </row>
    <row r="44" spans="1:10" ht="13" thickBot="1">
      <c r="A44" s="72" t="s">
        <v>208</v>
      </c>
      <c r="B44" s="73">
        <v>208</v>
      </c>
      <c r="C44" s="72" t="s">
        <v>196</v>
      </c>
      <c r="D44" s="72" t="s">
        <v>205</v>
      </c>
      <c r="E44" s="71">
        <v>1473696.7930000001</v>
      </c>
      <c r="F44" s="70">
        <v>171422.80799999999</v>
      </c>
      <c r="G44" s="70">
        <v>1359298.747</v>
      </c>
      <c r="H44" s="70">
        <v>1359298.747</v>
      </c>
      <c r="I44" s="70">
        <v>0</v>
      </c>
      <c r="J44" s="70">
        <v>1299.664</v>
      </c>
    </row>
    <row r="45" spans="1:10" ht="13" thickBot="1">
      <c r="A45" s="72" t="s">
        <v>209</v>
      </c>
      <c r="B45" s="73">
        <v>490832</v>
      </c>
      <c r="C45" s="88" t="s">
        <v>200</v>
      </c>
      <c r="D45" s="72" t="s">
        <v>200</v>
      </c>
      <c r="E45" s="71">
        <v>32397.521000000001</v>
      </c>
      <c r="F45" s="70">
        <v>0</v>
      </c>
      <c r="G45" s="70">
        <v>32397.521000000001</v>
      </c>
      <c r="H45" s="70">
        <v>32397.521000000001</v>
      </c>
      <c r="I45" s="70">
        <v>0</v>
      </c>
      <c r="J45" s="70">
        <v>19.884</v>
      </c>
    </row>
    <row r="46" spans="1:10" ht="13" thickBot="1">
      <c r="A46" s="72" t="s">
        <v>210</v>
      </c>
      <c r="B46" s="73">
        <v>212</v>
      </c>
      <c r="C46" s="72" t="s">
        <v>191</v>
      </c>
      <c r="D46" s="72" t="s">
        <v>192</v>
      </c>
      <c r="E46" s="71">
        <v>18237.312000000002</v>
      </c>
      <c r="F46" s="70">
        <v>0</v>
      </c>
      <c r="G46" s="70">
        <v>18240.433000000001</v>
      </c>
      <c r="H46" s="70">
        <v>18240.433000000001</v>
      </c>
      <c r="I46" s="70">
        <v>0</v>
      </c>
      <c r="J46" s="70">
        <v>3.7719999999999998</v>
      </c>
    </row>
    <row r="47" spans="1:10" ht="13" thickBot="1">
      <c r="A47" s="72" t="s">
        <v>211</v>
      </c>
      <c r="B47" s="73">
        <v>187830</v>
      </c>
      <c r="C47" s="88" t="s">
        <v>200</v>
      </c>
      <c r="D47" s="72" t="s">
        <v>200</v>
      </c>
      <c r="E47" s="71">
        <v>3798.422</v>
      </c>
      <c r="F47" s="70">
        <v>0</v>
      </c>
      <c r="G47" s="70">
        <v>3798.422</v>
      </c>
      <c r="H47" s="70">
        <v>3798.422</v>
      </c>
      <c r="I47" s="70">
        <v>0</v>
      </c>
      <c r="J47" s="70">
        <v>2.758</v>
      </c>
    </row>
    <row r="48" spans="1:10" ht="13" thickBot="1">
      <c r="A48" s="72" t="s">
        <v>212</v>
      </c>
      <c r="B48" s="73">
        <v>192831</v>
      </c>
      <c r="C48" s="88" t="s">
        <v>200</v>
      </c>
      <c r="D48" s="72" t="s">
        <v>200</v>
      </c>
      <c r="E48" s="71">
        <v>6561.9639999999999</v>
      </c>
      <c r="F48" s="70">
        <v>0</v>
      </c>
      <c r="G48" s="70">
        <v>6561.9639999999999</v>
      </c>
      <c r="H48" s="70">
        <v>6561.9639999999999</v>
      </c>
      <c r="I48" s="70">
        <v>0</v>
      </c>
      <c r="J48" s="70">
        <v>4.851</v>
      </c>
    </row>
    <row r="51" spans="1:10" ht="12.5">
      <c r="A51" s="146" t="s">
        <v>213</v>
      </c>
      <c r="B51" s="147"/>
      <c r="C51" s="147"/>
      <c r="D51" s="147"/>
      <c r="E51" s="146" t="s">
        <v>214</v>
      </c>
      <c r="F51" s="147"/>
      <c r="G51" s="147"/>
      <c r="H51" s="148" t="s">
        <v>215</v>
      </c>
      <c r="I51" s="147"/>
      <c r="J51" s="147"/>
    </row>
    <row r="52" spans="1:10" ht="12.5">
      <c r="A52" s="149" t="s">
        <v>216</v>
      </c>
      <c r="B52" s="150"/>
      <c r="C52" s="150"/>
      <c r="D52" s="150"/>
      <c r="E52" s="150"/>
      <c r="F52" s="150"/>
      <c r="G52" s="150"/>
      <c r="H52" s="150"/>
      <c r="I52" s="150"/>
      <c r="J52" s="150"/>
    </row>
    <row r="54" spans="1:10" ht="12.75" customHeight="1">
      <c r="D54" s="80">
        <v>2023</v>
      </c>
      <c r="E54" s="80">
        <v>2022</v>
      </c>
      <c r="F54" s="80">
        <v>2021</v>
      </c>
      <c r="G54" s="80" t="s">
        <v>90</v>
      </c>
    </row>
    <row r="55" spans="1:10" ht="12.75" customHeight="1" thickBot="1">
      <c r="C55" s="72" t="s">
        <v>191</v>
      </c>
      <c r="D55" s="71">
        <f>SUMIF($C$8:$C$48,C55,$G$8:$G$48)</f>
        <v>86118.156000000003</v>
      </c>
      <c r="E55" s="71">
        <f>SUMIF($C$68:$C$110,C55,$G$68:$G$110)</f>
        <v>90050.824000000008</v>
      </c>
      <c r="F55" s="71">
        <f>SUMIF($C$126:$C$168,$C55,$G$126:$G$168)</f>
        <v>83974.736000000004</v>
      </c>
      <c r="G55" s="79">
        <f>AVERAGE(D55:F55)</f>
        <v>86714.572</v>
      </c>
    </row>
    <row r="56" spans="1:10" ht="12.75" customHeight="1" thickBot="1">
      <c r="C56" s="72" t="s">
        <v>200</v>
      </c>
      <c r="D56" s="71">
        <f>SUMIF($C$8:$C$48,C56,$G$8:$G$48)</f>
        <v>54050.498</v>
      </c>
      <c r="E56" s="71">
        <f>SUMIF($C$68:$C$110,C56,$G$68:$G$110)</f>
        <v>43713.697</v>
      </c>
      <c r="F56" s="71">
        <f>SUMIF($C$126:$C$168,$C56,$G$126:$G$168)</f>
        <v>53818.024999999994</v>
      </c>
      <c r="G56" s="79">
        <f>AVERAGE(D56:F56)</f>
        <v>50527.406666666669</v>
      </c>
    </row>
    <row r="61" spans="1:10" ht="21" customHeight="1">
      <c r="A61" s="150"/>
      <c r="B61" s="150"/>
      <c r="C61" s="150"/>
      <c r="D61" s="150"/>
      <c r="E61" s="153" t="s">
        <v>176</v>
      </c>
      <c r="F61" s="150"/>
      <c r="G61" s="150"/>
      <c r="H61" s="69" t="s">
        <v>82</v>
      </c>
    </row>
    <row r="62" spans="1:10" ht="12.5">
      <c r="A62" s="150"/>
      <c r="B62" s="150"/>
      <c r="C62" s="150"/>
      <c r="D62" s="150"/>
      <c r="E62" s="150"/>
      <c r="F62" s="150"/>
      <c r="G62" s="150"/>
      <c r="H62" s="154" t="s">
        <v>217</v>
      </c>
      <c r="I62" s="150"/>
      <c r="J62" s="150"/>
    </row>
    <row r="63" spans="1:10" ht="12.5">
      <c r="A63" s="150"/>
      <c r="B63" s="150"/>
      <c r="C63" s="150"/>
      <c r="D63" s="150"/>
      <c r="E63" s="150"/>
      <c r="F63" s="150"/>
      <c r="G63" s="150"/>
      <c r="H63" s="155" t="s">
        <v>218</v>
      </c>
      <c r="I63" s="150"/>
      <c r="J63" s="150"/>
    </row>
    <row r="64" spans="1:10" ht="12.5">
      <c r="A64" s="150"/>
      <c r="B64" s="150"/>
      <c r="C64" s="150"/>
      <c r="D64" s="150"/>
      <c r="E64" s="150"/>
      <c r="F64" s="150"/>
      <c r="G64" s="150"/>
      <c r="H64" s="155" t="s">
        <v>219</v>
      </c>
      <c r="I64" s="150"/>
      <c r="J64" s="150"/>
    </row>
    <row r="65" spans="1:10" ht="13.5" thickBot="1">
      <c r="A65" s="156" t="s">
        <v>180</v>
      </c>
      <c r="B65" s="157"/>
      <c r="C65" s="157"/>
      <c r="D65" s="157"/>
      <c r="E65" s="157"/>
      <c r="F65" s="157"/>
      <c r="G65" s="157"/>
      <c r="H65" s="157"/>
      <c r="I65" s="157"/>
      <c r="J65" s="157"/>
    </row>
    <row r="66" spans="1:10" ht="12.5">
      <c r="A66" s="151" t="s">
        <v>181</v>
      </c>
      <c r="B66" s="151" t="s">
        <v>182</v>
      </c>
      <c r="C66" s="151" t="s">
        <v>183</v>
      </c>
      <c r="D66" s="151" t="s">
        <v>76</v>
      </c>
      <c r="E66" s="151" t="s">
        <v>184</v>
      </c>
      <c r="F66" s="151" t="s">
        <v>185</v>
      </c>
      <c r="G66" s="151" t="s">
        <v>186</v>
      </c>
      <c r="H66" s="151" t="s">
        <v>187</v>
      </c>
      <c r="I66" s="151" t="s">
        <v>188</v>
      </c>
      <c r="J66" s="151" t="s">
        <v>189</v>
      </c>
    </row>
    <row r="67" spans="1:10" ht="13" thickBot="1">
      <c r="A67" s="152"/>
      <c r="B67" s="152"/>
      <c r="C67" s="152"/>
      <c r="D67" s="152"/>
      <c r="E67" s="152"/>
      <c r="F67" s="152"/>
      <c r="G67" s="152"/>
      <c r="H67" s="152"/>
      <c r="I67" s="152"/>
      <c r="J67" s="152"/>
    </row>
    <row r="68" spans="1:10" ht="13" thickBot="1">
      <c r="A68" s="77" t="s">
        <v>190</v>
      </c>
      <c r="B68" s="78">
        <v>215</v>
      </c>
      <c r="C68" s="77" t="s">
        <v>191</v>
      </c>
      <c r="D68" s="77" t="s">
        <v>192</v>
      </c>
      <c r="E68" s="76">
        <v>25120.580999999998</v>
      </c>
      <c r="F68" s="75">
        <v>0</v>
      </c>
      <c r="G68" s="75">
        <v>25123.55</v>
      </c>
      <c r="H68" s="75">
        <v>25123.55</v>
      </c>
      <c r="I68" s="75">
        <v>0</v>
      </c>
      <c r="J68" s="75">
        <v>5.4550000000000001</v>
      </c>
    </row>
    <row r="69" spans="1:10" ht="13" thickBot="1">
      <c r="A69" s="72" t="s">
        <v>193</v>
      </c>
      <c r="B69" s="73">
        <v>214</v>
      </c>
      <c r="C69" s="72" t="s">
        <v>191</v>
      </c>
      <c r="D69" s="72" t="s">
        <v>192</v>
      </c>
      <c r="E69" s="71">
        <v>15838.755999999999</v>
      </c>
      <c r="F69" s="70">
        <v>0</v>
      </c>
      <c r="G69" s="70">
        <v>15841.156000000001</v>
      </c>
      <c r="H69" s="70">
        <v>15841.156000000001</v>
      </c>
      <c r="I69" s="70">
        <v>0</v>
      </c>
      <c r="J69" s="70">
        <v>2.698</v>
      </c>
    </row>
    <row r="70" spans="1:10" ht="13" thickBot="1">
      <c r="A70" s="72" t="s">
        <v>194</v>
      </c>
      <c r="B70" s="73">
        <v>211</v>
      </c>
      <c r="C70" s="72" t="s">
        <v>191</v>
      </c>
      <c r="D70" s="72" t="s">
        <v>192</v>
      </c>
      <c r="E70" s="71">
        <v>4799.1260000000002</v>
      </c>
      <c r="F70" s="70">
        <v>0</v>
      </c>
      <c r="G70" s="70">
        <v>4799.5680000000002</v>
      </c>
      <c r="H70" s="70">
        <v>4799.5680000000002</v>
      </c>
      <c r="I70" s="70">
        <v>0</v>
      </c>
      <c r="J70" s="70">
        <v>0.82799999999999996</v>
      </c>
    </row>
    <row r="71" spans="1:10" ht="13" thickBot="1">
      <c r="A71" s="72" t="s">
        <v>195</v>
      </c>
      <c r="B71" s="73">
        <v>200</v>
      </c>
      <c r="C71" s="72" t="s">
        <v>196</v>
      </c>
      <c r="D71" s="72" t="s">
        <v>197</v>
      </c>
      <c r="E71" s="71">
        <v>7789602.8530000001</v>
      </c>
      <c r="F71" s="70">
        <v>270422.473</v>
      </c>
      <c r="G71" s="70">
        <v>7541123.0420000004</v>
      </c>
      <c r="H71" s="70">
        <v>7541123.0420000004</v>
      </c>
      <c r="I71" s="70">
        <v>0</v>
      </c>
      <c r="J71" s="70">
        <v>1096.7719999999999</v>
      </c>
    </row>
    <row r="72" spans="1:10" ht="13" thickBot="1">
      <c r="A72" s="72" t="s">
        <v>198</v>
      </c>
      <c r="B72" s="73">
        <v>199</v>
      </c>
      <c r="C72" s="72" t="s">
        <v>196</v>
      </c>
      <c r="D72" s="72" t="s">
        <v>197</v>
      </c>
      <c r="E72" s="71">
        <v>9354518.0390000008</v>
      </c>
      <c r="F72" s="70">
        <v>282009.78999999998</v>
      </c>
      <c r="G72" s="70">
        <v>9082201.5590000004</v>
      </c>
      <c r="H72" s="70">
        <v>9082201.5590000004</v>
      </c>
      <c r="I72" s="70">
        <v>0</v>
      </c>
      <c r="J72" s="70">
        <v>1213.6010000000001</v>
      </c>
    </row>
    <row r="73" spans="1:10" ht="13" thickBot="1">
      <c r="A73" s="72" t="s">
        <v>199</v>
      </c>
      <c r="B73" s="73">
        <v>147830</v>
      </c>
      <c r="C73" s="72" t="s">
        <v>200</v>
      </c>
      <c r="D73" s="72" t="s">
        <v>200</v>
      </c>
      <c r="E73" s="71">
        <v>3145.7689999999998</v>
      </c>
      <c r="F73" s="70">
        <v>0</v>
      </c>
      <c r="G73" s="70">
        <v>3145.7689999999998</v>
      </c>
      <c r="H73" s="70">
        <v>3145.7689999999998</v>
      </c>
      <c r="I73" s="70">
        <v>0</v>
      </c>
      <c r="J73" s="70">
        <v>2.5179999999999998</v>
      </c>
    </row>
    <row r="74" spans="1:10" ht="13" thickBot="1">
      <c r="A74" s="72" t="s">
        <v>201</v>
      </c>
      <c r="B74" s="73">
        <v>213</v>
      </c>
      <c r="C74" s="72" t="s">
        <v>191</v>
      </c>
      <c r="D74" s="72" t="s">
        <v>192</v>
      </c>
      <c r="E74" s="71">
        <v>13345.297</v>
      </c>
      <c r="F74" s="70">
        <v>0</v>
      </c>
      <c r="G74" s="70">
        <v>13347.281000000001</v>
      </c>
      <c r="H74" s="70">
        <v>13347.281000000001</v>
      </c>
      <c r="I74" s="70">
        <v>0</v>
      </c>
      <c r="J74" s="70">
        <v>3.2320000000000002</v>
      </c>
    </row>
    <row r="75" spans="1:10" ht="13" thickBot="1">
      <c r="A75" s="72"/>
      <c r="B75" s="73"/>
      <c r="C75" s="72"/>
      <c r="D75" s="72"/>
      <c r="E75" s="74"/>
      <c r="F75" s="70"/>
      <c r="G75" s="70"/>
      <c r="H75" s="70"/>
      <c r="I75" s="70"/>
      <c r="J75" s="70"/>
    </row>
    <row r="76" spans="1:10" ht="13" thickBot="1">
      <c r="A76" s="72"/>
      <c r="B76" s="73"/>
      <c r="C76" s="72"/>
      <c r="D76" s="72"/>
      <c r="E76" s="74"/>
      <c r="F76" s="70"/>
      <c r="G76" s="70"/>
      <c r="H76" s="70"/>
      <c r="I76" s="70"/>
      <c r="J76" s="70"/>
    </row>
    <row r="77" spans="1:10" ht="13" thickBot="1">
      <c r="A77" s="72"/>
      <c r="B77" s="73"/>
      <c r="C77" s="72"/>
      <c r="D77" s="72"/>
      <c r="E77" s="74"/>
      <c r="F77" s="70"/>
      <c r="G77" s="70"/>
      <c r="H77" s="70"/>
      <c r="I77" s="70"/>
      <c r="J77" s="70"/>
    </row>
    <row r="78" spans="1:10" ht="13" thickBot="1">
      <c r="A78" s="72"/>
      <c r="B78" s="73"/>
      <c r="C78" s="72"/>
      <c r="D78" s="72"/>
      <c r="E78" s="74"/>
      <c r="F78" s="70"/>
      <c r="G78" s="70"/>
      <c r="H78" s="70"/>
      <c r="I78" s="70"/>
      <c r="J78" s="70"/>
    </row>
    <row r="79" spans="1:10" ht="13" thickBot="1">
      <c r="A79" s="72"/>
      <c r="B79" s="73"/>
      <c r="C79" s="72"/>
      <c r="D79" s="72"/>
      <c r="E79" s="74"/>
      <c r="F79" s="70"/>
      <c r="G79" s="70"/>
      <c r="H79" s="70"/>
      <c r="I79" s="70"/>
      <c r="J79" s="70"/>
    </row>
    <row r="80" spans="1:10" ht="13" thickBot="1">
      <c r="A80" s="72"/>
      <c r="B80" s="73"/>
      <c r="C80" s="72"/>
      <c r="D80" s="72"/>
      <c r="E80" s="74"/>
      <c r="F80" s="70"/>
      <c r="G80" s="70"/>
      <c r="H80" s="70"/>
      <c r="I80" s="70"/>
      <c r="J80" s="70"/>
    </row>
    <row r="81" spans="1:10" ht="13" thickBot="1">
      <c r="A81" s="72"/>
      <c r="B81" s="73"/>
      <c r="C81" s="72"/>
      <c r="D81" s="72"/>
      <c r="E81" s="74"/>
      <c r="F81" s="70"/>
      <c r="G81" s="70"/>
      <c r="H81" s="70"/>
      <c r="I81" s="70"/>
      <c r="J81" s="70"/>
    </row>
    <row r="82" spans="1:10" ht="13" thickBot="1">
      <c r="A82" s="72"/>
      <c r="B82" s="73"/>
      <c r="C82" s="72"/>
      <c r="D82" s="72"/>
      <c r="E82" s="74"/>
      <c r="F82" s="70"/>
      <c r="G82" s="70"/>
      <c r="H82" s="70"/>
      <c r="I82" s="70"/>
      <c r="J82" s="70"/>
    </row>
    <row r="83" spans="1:10" ht="13" thickBot="1">
      <c r="A83" s="72"/>
      <c r="B83" s="73"/>
      <c r="C83" s="72"/>
      <c r="D83" s="72"/>
      <c r="E83" s="74"/>
      <c r="F83" s="70"/>
      <c r="G83" s="70"/>
      <c r="H83" s="70"/>
      <c r="I83" s="70"/>
      <c r="J83" s="70"/>
    </row>
    <row r="84" spans="1:10" ht="13" thickBot="1">
      <c r="A84" s="72"/>
      <c r="B84" s="73"/>
      <c r="C84" s="72"/>
      <c r="D84" s="72"/>
      <c r="E84" s="71"/>
      <c r="F84" s="70"/>
      <c r="G84" s="70"/>
      <c r="H84" s="70"/>
      <c r="I84" s="70"/>
      <c r="J84" s="70"/>
    </row>
    <row r="85" spans="1:10" ht="13" thickBot="1">
      <c r="A85" s="72"/>
      <c r="B85" s="73"/>
      <c r="C85" s="72"/>
      <c r="D85" s="72"/>
      <c r="E85" s="74"/>
      <c r="F85" s="70"/>
      <c r="G85" s="70"/>
      <c r="H85" s="70"/>
      <c r="I85" s="70"/>
      <c r="J85" s="70"/>
    </row>
    <row r="86" spans="1:10" ht="13" thickBot="1">
      <c r="A86" s="72"/>
      <c r="B86" s="73"/>
      <c r="C86" s="72"/>
      <c r="D86" s="72"/>
      <c r="E86" s="74"/>
      <c r="F86" s="70"/>
      <c r="G86" s="70"/>
      <c r="H86" s="70"/>
      <c r="I86" s="70"/>
      <c r="J86" s="70"/>
    </row>
    <row r="87" spans="1:10" ht="13" thickBot="1">
      <c r="A87" s="72"/>
      <c r="B87" s="73"/>
      <c r="C87" s="72"/>
      <c r="D87" s="72"/>
      <c r="E87" s="74"/>
      <c r="F87" s="70"/>
      <c r="G87" s="70"/>
      <c r="H87" s="70"/>
      <c r="I87" s="70"/>
      <c r="J87" s="70"/>
    </row>
    <row r="88" spans="1:10" ht="13" thickBot="1">
      <c r="A88" s="72"/>
      <c r="B88" s="73"/>
      <c r="C88" s="72"/>
      <c r="D88" s="72"/>
      <c r="E88" s="74"/>
      <c r="F88" s="70"/>
      <c r="G88" s="70"/>
      <c r="H88" s="70"/>
      <c r="I88" s="70"/>
      <c r="J88" s="70"/>
    </row>
    <row r="89" spans="1:10" ht="13" thickBot="1">
      <c r="A89" s="72"/>
      <c r="B89" s="73"/>
      <c r="C89" s="72"/>
      <c r="D89" s="72"/>
      <c r="E89" s="74"/>
      <c r="F89" s="70"/>
      <c r="G89" s="70"/>
      <c r="H89" s="70"/>
      <c r="I89" s="70"/>
      <c r="J89" s="70"/>
    </row>
    <row r="90" spans="1:10" ht="13" thickBot="1">
      <c r="A90" s="72"/>
      <c r="B90" s="73"/>
      <c r="C90" s="72"/>
      <c r="D90" s="72"/>
      <c r="E90" s="74"/>
      <c r="F90" s="70"/>
      <c r="G90" s="70"/>
      <c r="H90" s="70"/>
      <c r="I90" s="70"/>
      <c r="J90" s="70"/>
    </row>
    <row r="91" spans="1:10" ht="13" thickBot="1">
      <c r="A91" s="72"/>
      <c r="B91" s="73"/>
      <c r="C91" s="72"/>
      <c r="D91" s="72"/>
      <c r="E91" s="74"/>
      <c r="F91" s="70"/>
      <c r="G91" s="70"/>
      <c r="H91" s="70"/>
      <c r="I91" s="70"/>
      <c r="J91" s="70"/>
    </row>
    <row r="92" spans="1:10" ht="13" thickBot="1">
      <c r="A92" s="72"/>
      <c r="B92" s="73"/>
      <c r="C92" s="72"/>
      <c r="D92" s="72"/>
      <c r="E92" s="74"/>
      <c r="F92" s="70"/>
      <c r="G92" s="70"/>
      <c r="H92" s="70"/>
      <c r="I92" s="70"/>
      <c r="J92" s="70"/>
    </row>
    <row r="93" spans="1:10" ht="13" thickBot="1">
      <c r="A93" s="72"/>
      <c r="B93" s="73"/>
      <c r="C93" s="72"/>
      <c r="D93" s="72"/>
      <c r="E93" s="74"/>
      <c r="F93" s="70"/>
      <c r="G93" s="70"/>
      <c r="H93" s="70"/>
      <c r="I93" s="70"/>
      <c r="J93" s="70"/>
    </row>
    <row r="94" spans="1:10" ht="13" thickBot="1">
      <c r="A94" s="72"/>
      <c r="B94" s="73"/>
      <c r="C94" s="72"/>
      <c r="D94" s="72"/>
      <c r="E94" s="71"/>
      <c r="F94" s="70"/>
      <c r="G94" s="70"/>
      <c r="H94" s="70"/>
      <c r="I94" s="70"/>
      <c r="J94" s="70"/>
    </row>
    <row r="95" spans="1:10" ht="13" thickBot="1">
      <c r="A95" s="72"/>
      <c r="B95" s="73"/>
      <c r="C95" s="72"/>
      <c r="D95" s="72"/>
      <c r="E95" s="71"/>
      <c r="F95" s="70"/>
      <c r="G95" s="70"/>
      <c r="H95" s="70"/>
      <c r="I95" s="70"/>
      <c r="J95" s="70"/>
    </row>
    <row r="96" spans="1:10" ht="13" thickBot="1">
      <c r="A96" s="72"/>
      <c r="B96" s="73"/>
      <c r="C96" s="72"/>
      <c r="D96" s="72"/>
      <c r="E96" s="71"/>
      <c r="F96" s="70"/>
      <c r="G96" s="70"/>
      <c r="H96" s="70"/>
      <c r="I96" s="70"/>
      <c r="J96" s="70"/>
    </row>
    <row r="97" spans="1:10" ht="13" thickBot="1">
      <c r="A97" s="72"/>
      <c r="B97" s="73"/>
      <c r="C97" s="72"/>
      <c r="D97" s="72"/>
      <c r="E97" s="71"/>
      <c r="F97" s="70"/>
      <c r="G97" s="70"/>
      <c r="H97" s="70"/>
      <c r="I97" s="70"/>
      <c r="J97" s="70"/>
    </row>
    <row r="98" spans="1:10" ht="13" thickBot="1">
      <c r="A98" s="72"/>
      <c r="B98" s="73"/>
      <c r="C98" s="72"/>
      <c r="D98" s="72"/>
      <c r="E98" s="74"/>
      <c r="F98" s="70"/>
      <c r="G98" s="70"/>
      <c r="H98" s="70"/>
      <c r="I98" s="70"/>
      <c r="J98" s="70"/>
    </row>
    <row r="99" spans="1:10" ht="13" thickBot="1">
      <c r="A99" s="72" t="s">
        <v>202</v>
      </c>
      <c r="B99" s="73">
        <v>210</v>
      </c>
      <c r="C99" s="72" t="s">
        <v>191</v>
      </c>
      <c r="D99" s="72" t="s">
        <v>192</v>
      </c>
      <c r="E99" s="71">
        <v>6751.2610000000004</v>
      </c>
      <c r="F99" s="70">
        <v>0</v>
      </c>
      <c r="G99" s="70">
        <v>6752.0150000000003</v>
      </c>
      <c r="H99" s="70">
        <v>6752.0150000000003</v>
      </c>
      <c r="I99" s="70">
        <v>0</v>
      </c>
      <c r="J99" s="70">
        <v>1.3220000000000001</v>
      </c>
    </row>
    <row r="100" spans="1:10" ht="13" thickBot="1">
      <c r="A100" s="72" t="s">
        <v>203</v>
      </c>
      <c r="B100" s="73">
        <v>192830</v>
      </c>
      <c r="C100" s="72" t="s">
        <v>200</v>
      </c>
      <c r="D100" s="72" t="s">
        <v>200</v>
      </c>
      <c r="E100" s="71">
        <v>7521.4120000000003</v>
      </c>
      <c r="F100" s="70">
        <v>0</v>
      </c>
      <c r="G100" s="70">
        <v>7521.4120000000003</v>
      </c>
      <c r="H100" s="70">
        <v>7521.4120000000003</v>
      </c>
      <c r="I100" s="70">
        <v>0</v>
      </c>
      <c r="J100" s="70">
        <v>5.4859999999999998</v>
      </c>
    </row>
    <row r="101" spans="1:10" ht="13" thickBot="1">
      <c r="A101" s="72" t="s">
        <v>204</v>
      </c>
      <c r="B101" s="73">
        <v>21586</v>
      </c>
      <c r="C101" s="72" t="s">
        <v>196</v>
      </c>
      <c r="D101" s="72" t="s">
        <v>205</v>
      </c>
      <c r="E101" s="71">
        <v>942367.74699999997</v>
      </c>
      <c r="F101" s="70">
        <v>84999.214999999997</v>
      </c>
      <c r="G101" s="70">
        <v>875256.10199999996</v>
      </c>
      <c r="H101" s="70">
        <v>951381.80700000003</v>
      </c>
      <c r="I101" s="70">
        <v>-76125.705000000002</v>
      </c>
      <c r="J101" s="70">
        <v>415.76400000000001</v>
      </c>
    </row>
    <row r="102" spans="1:10" ht="13" thickBot="1">
      <c r="A102" s="72" t="s">
        <v>206</v>
      </c>
      <c r="B102" s="73">
        <v>201</v>
      </c>
      <c r="C102" s="72" t="s">
        <v>196</v>
      </c>
      <c r="D102" s="72" t="s">
        <v>205</v>
      </c>
      <c r="E102" s="71">
        <v>1346239.2379999999</v>
      </c>
      <c r="F102" s="70">
        <v>121428.128</v>
      </c>
      <c r="G102" s="70">
        <v>1250365.97</v>
      </c>
      <c r="H102" s="70">
        <v>1250365.97</v>
      </c>
      <c r="I102" s="70">
        <v>0</v>
      </c>
      <c r="J102" s="70">
        <v>593.95100000000002</v>
      </c>
    </row>
    <row r="103" spans="1:10" ht="13" thickBot="1">
      <c r="A103" s="72" t="s">
        <v>207</v>
      </c>
      <c r="B103" s="73">
        <v>207</v>
      </c>
      <c r="C103" s="72" t="s">
        <v>196</v>
      </c>
      <c r="D103" s="72" t="s">
        <v>205</v>
      </c>
      <c r="E103" s="71">
        <v>2692478.4479999999</v>
      </c>
      <c r="F103" s="70">
        <v>242854.6</v>
      </c>
      <c r="G103" s="70">
        <v>2500731.9109999998</v>
      </c>
      <c r="H103" s="70">
        <v>2500731.9109999998</v>
      </c>
      <c r="I103" s="70">
        <v>0</v>
      </c>
      <c r="J103" s="70">
        <v>1187.9000000000001</v>
      </c>
    </row>
    <row r="104" spans="1:10" ht="13" thickBot="1">
      <c r="A104" s="72" t="s">
        <v>220</v>
      </c>
      <c r="B104" s="73">
        <v>21588</v>
      </c>
      <c r="C104" s="72" t="s">
        <v>196</v>
      </c>
      <c r="D104" s="72" t="s">
        <v>205</v>
      </c>
      <c r="E104" s="71">
        <v>1287342.916</v>
      </c>
      <c r="F104" s="70">
        <v>102576.048</v>
      </c>
      <c r="G104" s="70">
        <v>1197391.429</v>
      </c>
      <c r="H104" s="70">
        <v>1018710.1580000001</v>
      </c>
      <c r="I104" s="70">
        <v>178681.27100000001</v>
      </c>
      <c r="J104" s="70">
        <v>457.005</v>
      </c>
    </row>
    <row r="105" spans="1:10" ht="13" thickBot="1">
      <c r="A105" s="72" t="s">
        <v>221</v>
      </c>
      <c r="B105" s="73">
        <v>202</v>
      </c>
      <c r="C105" s="72" t="s">
        <v>196</v>
      </c>
      <c r="D105" s="72" t="s">
        <v>205</v>
      </c>
      <c r="E105" s="71">
        <v>1839062.51</v>
      </c>
      <c r="F105" s="70">
        <v>146536.856</v>
      </c>
      <c r="G105" s="70">
        <v>1710559.25</v>
      </c>
      <c r="H105" s="70">
        <v>1965818.2180000001</v>
      </c>
      <c r="I105" s="70">
        <v>-255258.96799999999</v>
      </c>
      <c r="J105" s="70">
        <v>652.86400000000003</v>
      </c>
    </row>
    <row r="106" spans="1:10" ht="13" thickBot="1">
      <c r="A106" s="72" t="s">
        <v>208</v>
      </c>
      <c r="B106" s="73">
        <v>208</v>
      </c>
      <c r="C106" s="72" t="s">
        <v>196</v>
      </c>
      <c r="D106" s="72" t="s">
        <v>205</v>
      </c>
      <c r="E106" s="71">
        <v>3678124.8829999999</v>
      </c>
      <c r="F106" s="70">
        <v>293073.35600000003</v>
      </c>
      <c r="G106" s="70">
        <v>3421118.4470000002</v>
      </c>
      <c r="H106" s="70">
        <v>3421118.4470000002</v>
      </c>
      <c r="I106" s="70">
        <v>0</v>
      </c>
      <c r="J106" s="70">
        <v>1305.7280000000001</v>
      </c>
    </row>
    <row r="107" spans="1:10" ht="13" thickBot="1">
      <c r="A107" s="72" t="s">
        <v>209</v>
      </c>
      <c r="B107" s="73">
        <v>490832</v>
      </c>
      <c r="C107" s="72" t="s">
        <v>200</v>
      </c>
      <c r="D107" s="72" t="s">
        <v>200</v>
      </c>
      <c r="E107" s="71">
        <v>24276.746999999999</v>
      </c>
      <c r="F107" s="70">
        <v>0</v>
      </c>
      <c r="G107" s="70">
        <v>24276.746999999999</v>
      </c>
      <c r="H107" s="70">
        <v>24276.746999999999</v>
      </c>
      <c r="I107" s="70">
        <v>0</v>
      </c>
      <c r="J107" s="70">
        <v>15.916</v>
      </c>
    </row>
    <row r="108" spans="1:10" ht="13" thickBot="1">
      <c r="A108" s="72" t="s">
        <v>210</v>
      </c>
      <c r="B108" s="73">
        <v>212</v>
      </c>
      <c r="C108" s="72" t="s">
        <v>191</v>
      </c>
      <c r="D108" s="72" t="s">
        <v>192</v>
      </c>
      <c r="E108" s="71">
        <v>24183.767</v>
      </c>
      <c r="F108" s="70">
        <v>0</v>
      </c>
      <c r="G108" s="70">
        <v>24187.254000000001</v>
      </c>
      <c r="H108" s="70">
        <v>24187.254000000001</v>
      </c>
      <c r="I108" s="70">
        <v>0</v>
      </c>
      <c r="J108" s="70">
        <v>3.508</v>
      </c>
    </row>
    <row r="109" spans="1:10" ht="13" thickBot="1">
      <c r="A109" s="72" t="s">
        <v>211</v>
      </c>
      <c r="B109" s="73">
        <v>187830</v>
      </c>
      <c r="C109" s="72" t="s">
        <v>200</v>
      </c>
      <c r="D109" s="72" t="s">
        <v>200</v>
      </c>
      <c r="E109" s="71">
        <v>3750.8020000000001</v>
      </c>
      <c r="F109" s="70">
        <v>0</v>
      </c>
      <c r="G109" s="70">
        <v>3750.8020000000001</v>
      </c>
      <c r="H109" s="70">
        <v>3750.8020000000001</v>
      </c>
      <c r="I109" s="70">
        <v>0</v>
      </c>
      <c r="J109" s="70">
        <v>2.7829999999999999</v>
      </c>
    </row>
    <row r="110" spans="1:10" ht="13" thickBot="1">
      <c r="A110" s="72" t="s">
        <v>212</v>
      </c>
      <c r="B110" s="73">
        <v>192831</v>
      </c>
      <c r="C110" s="72" t="s">
        <v>200</v>
      </c>
      <c r="D110" s="72" t="s">
        <v>200</v>
      </c>
      <c r="E110" s="71">
        <v>5018.9669999999996</v>
      </c>
      <c r="F110" s="70">
        <v>0</v>
      </c>
      <c r="G110" s="70">
        <v>5018.9669999999996</v>
      </c>
      <c r="H110" s="70">
        <v>5018.9669999999996</v>
      </c>
      <c r="I110" s="70">
        <v>0</v>
      </c>
      <c r="J110" s="70">
        <v>4.6369999999999996</v>
      </c>
    </row>
    <row r="112" spans="1:10" ht="12.75" customHeight="1" thickBot="1"/>
    <row r="113" spans="1:10" ht="12.5">
      <c r="A113" s="146" t="s">
        <v>213</v>
      </c>
      <c r="B113" s="147"/>
      <c r="C113" s="147"/>
      <c r="D113" s="147"/>
      <c r="E113" s="146" t="s">
        <v>214</v>
      </c>
      <c r="F113" s="147"/>
      <c r="G113" s="147"/>
      <c r="H113" s="148" t="s">
        <v>215</v>
      </c>
      <c r="I113" s="147"/>
      <c r="J113" s="147"/>
    </row>
    <row r="114" spans="1:10" ht="12.5">
      <c r="A114" s="149" t="s">
        <v>216</v>
      </c>
      <c r="B114" s="150"/>
      <c r="C114" s="150"/>
      <c r="D114" s="150"/>
      <c r="E114" s="150"/>
      <c r="F114" s="150"/>
      <c r="G114" s="150"/>
      <c r="H114" s="150"/>
      <c r="I114" s="150"/>
      <c r="J114" s="150"/>
    </row>
    <row r="119" spans="1:10" ht="21" customHeight="1">
      <c r="A119" s="150"/>
      <c r="B119" s="150"/>
      <c r="C119" s="150"/>
      <c r="D119" s="150"/>
      <c r="E119" s="153" t="s">
        <v>176</v>
      </c>
      <c r="F119" s="150"/>
      <c r="G119" s="150"/>
      <c r="H119" s="69" t="s">
        <v>82</v>
      </c>
    </row>
    <row r="120" spans="1:10" ht="12.5">
      <c r="A120" s="150"/>
      <c r="B120" s="150"/>
      <c r="C120" s="150"/>
      <c r="D120" s="150"/>
      <c r="E120" s="150"/>
      <c r="F120" s="150"/>
      <c r="G120" s="150"/>
      <c r="H120" s="154" t="s">
        <v>222</v>
      </c>
      <c r="I120" s="150"/>
      <c r="J120" s="150"/>
    </row>
    <row r="121" spans="1:10" ht="12.5">
      <c r="A121" s="150"/>
      <c r="B121" s="150"/>
      <c r="C121" s="150"/>
      <c r="D121" s="150"/>
      <c r="E121" s="150"/>
      <c r="F121" s="150"/>
      <c r="G121" s="150"/>
      <c r="H121" s="155" t="s">
        <v>223</v>
      </c>
      <c r="I121" s="150"/>
      <c r="J121" s="150"/>
    </row>
    <row r="122" spans="1:10" ht="12.5">
      <c r="A122" s="150"/>
      <c r="B122" s="150"/>
      <c r="C122" s="150"/>
      <c r="D122" s="150"/>
      <c r="E122" s="150"/>
      <c r="F122" s="150"/>
      <c r="G122" s="150"/>
      <c r="H122" s="155" t="s">
        <v>224</v>
      </c>
      <c r="I122" s="150"/>
      <c r="J122" s="150"/>
    </row>
    <row r="123" spans="1:10" ht="13.5" thickBot="1">
      <c r="A123" s="156" t="s">
        <v>180</v>
      </c>
      <c r="B123" s="157"/>
      <c r="C123" s="157"/>
      <c r="D123" s="157"/>
      <c r="E123" s="157"/>
      <c r="F123" s="157"/>
      <c r="G123" s="157"/>
      <c r="H123" s="157"/>
      <c r="I123" s="157"/>
      <c r="J123" s="157"/>
    </row>
    <row r="124" spans="1:10" ht="12.5">
      <c r="A124" s="151" t="s">
        <v>181</v>
      </c>
      <c r="B124" s="151" t="s">
        <v>182</v>
      </c>
      <c r="C124" s="151" t="s">
        <v>183</v>
      </c>
      <c r="D124" s="151" t="s">
        <v>76</v>
      </c>
      <c r="E124" s="151" t="s">
        <v>184</v>
      </c>
      <c r="F124" s="151" t="s">
        <v>185</v>
      </c>
      <c r="G124" s="151" t="s">
        <v>186</v>
      </c>
      <c r="H124" s="151" t="s">
        <v>187</v>
      </c>
      <c r="I124" s="151" t="s">
        <v>188</v>
      </c>
      <c r="J124" s="151" t="s">
        <v>189</v>
      </c>
    </row>
    <row r="125" spans="1:10" ht="13" thickBot="1">
      <c r="A125" s="152"/>
      <c r="B125" s="152"/>
      <c r="C125" s="152"/>
      <c r="D125" s="152"/>
      <c r="E125" s="152"/>
      <c r="F125" s="152"/>
      <c r="G125" s="152"/>
      <c r="H125" s="152"/>
      <c r="I125" s="152"/>
      <c r="J125" s="152"/>
    </row>
    <row r="126" spans="1:10" ht="13" thickBot="1">
      <c r="A126" s="77" t="s">
        <v>190</v>
      </c>
      <c r="B126" s="78">
        <v>215</v>
      </c>
      <c r="C126" s="77" t="s">
        <v>191</v>
      </c>
      <c r="D126" s="77" t="s">
        <v>192</v>
      </c>
      <c r="E126" s="76">
        <v>29564.585999999999</v>
      </c>
      <c r="F126" s="75">
        <v>0</v>
      </c>
      <c r="G126" s="75">
        <v>29569.328000000001</v>
      </c>
      <c r="H126" s="75">
        <v>29569.328000000001</v>
      </c>
      <c r="I126" s="75">
        <v>0</v>
      </c>
      <c r="J126" s="75">
        <v>4.9889999999999999</v>
      </c>
    </row>
    <row r="127" spans="1:10" ht="13" thickBot="1">
      <c r="A127" s="72" t="s">
        <v>193</v>
      </c>
      <c r="B127" s="73">
        <v>214</v>
      </c>
      <c r="C127" s="72" t="s">
        <v>191</v>
      </c>
      <c r="D127" s="72" t="s">
        <v>192</v>
      </c>
      <c r="E127" s="71">
        <v>15490.471</v>
      </c>
      <c r="F127" s="70">
        <v>0</v>
      </c>
      <c r="G127" s="70">
        <v>15492.323</v>
      </c>
      <c r="H127" s="70">
        <v>15492.323</v>
      </c>
      <c r="I127" s="70">
        <v>0</v>
      </c>
      <c r="J127" s="70">
        <v>2.661</v>
      </c>
    </row>
    <row r="128" spans="1:10" ht="13" thickBot="1">
      <c r="A128" s="72" t="s">
        <v>194</v>
      </c>
      <c r="B128" s="73">
        <v>211</v>
      </c>
      <c r="C128" s="72" t="s">
        <v>191</v>
      </c>
      <c r="D128" s="72" t="s">
        <v>192</v>
      </c>
      <c r="E128" s="71">
        <v>4831.3729999999996</v>
      </c>
      <c r="F128" s="70">
        <v>0</v>
      </c>
      <c r="G128" s="70">
        <v>4832.1350000000002</v>
      </c>
      <c r="H128" s="70">
        <v>4832.1350000000002</v>
      </c>
      <c r="I128" s="70">
        <v>0</v>
      </c>
      <c r="J128" s="70">
        <v>0.91600000000000004</v>
      </c>
    </row>
    <row r="129" spans="1:10" ht="13" thickBot="1">
      <c r="A129" s="72" t="s">
        <v>195</v>
      </c>
      <c r="B129" s="73">
        <v>200</v>
      </c>
      <c r="C129" s="72" t="s">
        <v>196</v>
      </c>
      <c r="D129" s="72" t="s">
        <v>197</v>
      </c>
      <c r="E129" s="71">
        <v>9412945.9869999997</v>
      </c>
      <c r="F129" s="70">
        <v>304064.408</v>
      </c>
      <c r="G129" s="70">
        <v>9113251.9989999998</v>
      </c>
      <c r="H129" s="70">
        <v>9113251.9989999998</v>
      </c>
      <c r="I129" s="70">
        <v>0</v>
      </c>
      <c r="J129" s="70">
        <v>1098.8320000000001</v>
      </c>
    </row>
    <row r="130" spans="1:10" ht="13" thickBot="1">
      <c r="A130" s="72" t="s">
        <v>198</v>
      </c>
      <c r="B130" s="73">
        <v>199</v>
      </c>
      <c r="C130" s="72" t="s">
        <v>196</v>
      </c>
      <c r="D130" s="72" t="s">
        <v>197</v>
      </c>
      <c r="E130" s="71">
        <v>9106101.1669999994</v>
      </c>
      <c r="F130" s="70">
        <v>278988.587</v>
      </c>
      <c r="G130" s="70">
        <v>8847508</v>
      </c>
      <c r="H130" s="70">
        <v>8847508</v>
      </c>
      <c r="I130" s="70">
        <v>0</v>
      </c>
      <c r="J130" s="70">
        <v>1211.615</v>
      </c>
    </row>
    <row r="131" spans="1:10" ht="13" thickBot="1">
      <c r="A131" s="72" t="s">
        <v>199</v>
      </c>
      <c r="B131" s="73">
        <v>147830</v>
      </c>
      <c r="C131" s="88" t="s">
        <v>200</v>
      </c>
      <c r="D131" s="72" t="s">
        <v>200</v>
      </c>
      <c r="E131" s="71">
        <v>3471.3879999999999</v>
      </c>
      <c r="F131" s="70">
        <v>0</v>
      </c>
      <c r="G131" s="70">
        <v>3471.3879999999999</v>
      </c>
      <c r="H131" s="70">
        <v>3471.3879999999999</v>
      </c>
      <c r="I131" s="70">
        <v>0</v>
      </c>
      <c r="J131" s="70">
        <v>2.6749999999999998</v>
      </c>
    </row>
    <row r="132" spans="1:10" ht="13" thickBot="1">
      <c r="A132" s="72" t="s">
        <v>201</v>
      </c>
      <c r="B132" s="73">
        <v>213</v>
      </c>
      <c r="C132" s="72" t="s">
        <v>191</v>
      </c>
      <c r="D132" s="72" t="s">
        <v>192</v>
      </c>
      <c r="E132" s="71">
        <v>2751.0169999999998</v>
      </c>
      <c r="F132" s="70">
        <v>0</v>
      </c>
      <c r="G132" s="70">
        <v>2752.6779999999999</v>
      </c>
      <c r="H132" s="70">
        <v>2752.6779999999999</v>
      </c>
      <c r="I132" s="70">
        <v>0</v>
      </c>
      <c r="J132" s="70">
        <v>2.4180000000000001</v>
      </c>
    </row>
    <row r="133" spans="1:10" ht="13" thickBot="1">
      <c r="A133" s="72"/>
      <c r="B133" s="73"/>
      <c r="C133" s="72"/>
      <c r="D133" s="72"/>
      <c r="E133" s="74"/>
      <c r="F133" s="70"/>
      <c r="G133" s="70"/>
      <c r="H133" s="70"/>
      <c r="I133" s="70"/>
      <c r="J133" s="70"/>
    </row>
    <row r="134" spans="1:10" ht="13" thickBot="1">
      <c r="A134" s="72"/>
      <c r="B134" s="73"/>
      <c r="C134" s="72"/>
      <c r="D134" s="72"/>
      <c r="E134" s="74"/>
      <c r="F134" s="70"/>
      <c r="G134" s="70"/>
      <c r="H134" s="70"/>
      <c r="I134" s="70"/>
      <c r="J134" s="70"/>
    </row>
    <row r="135" spans="1:10" ht="13" thickBot="1">
      <c r="A135" s="72"/>
      <c r="B135" s="73"/>
      <c r="C135" s="72"/>
      <c r="D135" s="72"/>
      <c r="E135" s="74"/>
      <c r="F135" s="70"/>
      <c r="G135" s="70"/>
      <c r="H135" s="70"/>
      <c r="I135" s="70"/>
      <c r="J135" s="70"/>
    </row>
    <row r="136" spans="1:10" ht="13" thickBot="1">
      <c r="A136" s="72"/>
      <c r="B136" s="73"/>
      <c r="C136" s="72"/>
      <c r="D136" s="72"/>
      <c r="E136" s="74"/>
      <c r="F136" s="70"/>
      <c r="G136" s="70"/>
      <c r="H136" s="70"/>
      <c r="I136" s="70"/>
      <c r="J136" s="70"/>
    </row>
    <row r="137" spans="1:10" ht="13" thickBot="1">
      <c r="A137" s="72"/>
      <c r="B137" s="73"/>
      <c r="C137" s="72"/>
      <c r="D137" s="72"/>
      <c r="E137" s="74"/>
      <c r="F137" s="70"/>
      <c r="G137" s="70"/>
      <c r="H137" s="70"/>
      <c r="I137" s="70"/>
      <c r="J137" s="70"/>
    </row>
    <row r="138" spans="1:10" ht="13" thickBot="1">
      <c r="A138" s="72"/>
      <c r="B138" s="73"/>
      <c r="C138" s="72"/>
      <c r="D138" s="72"/>
      <c r="E138" s="74"/>
      <c r="F138" s="70"/>
      <c r="G138" s="70"/>
      <c r="H138" s="70"/>
      <c r="I138" s="70"/>
      <c r="J138" s="70"/>
    </row>
    <row r="139" spans="1:10" ht="13" thickBot="1">
      <c r="A139" s="72"/>
      <c r="B139" s="73"/>
      <c r="C139" s="72"/>
      <c r="D139" s="72"/>
      <c r="E139" s="74"/>
      <c r="F139" s="70"/>
      <c r="G139" s="70"/>
      <c r="H139" s="70"/>
      <c r="I139" s="70"/>
      <c r="J139" s="70"/>
    </row>
    <row r="140" spans="1:10" ht="13" thickBot="1">
      <c r="A140" s="72"/>
      <c r="B140" s="73"/>
      <c r="C140" s="72"/>
      <c r="D140" s="72"/>
      <c r="E140" s="74"/>
      <c r="F140" s="70"/>
      <c r="G140" s="70"/>
      <c r="H140" s="70"/>
      <c r="I140" s="70"/>
      <c r="J140" s="70"/>
    </row>
    <row r="141" spans="1:10" ht="13" thickBot="1">
      <c r="A141" s="72"/>
      <c r="B141" s="73"/>
      <c r="C141" s="72"/>
      <c r="D141" s="72"/>
      <c r="E141" s="74"/>
      <c r="F141" s="70"/>
      <c r="G141" s="70"/>
      <c r="H141" s="70"/>
      <c r="I141" s="70"/>
      <c r="J141" s="70"/>
    </row>
    <row r="142" spans="1:10" ht="13" thickBot="1">
      <c r="A142" s="72"/>
      <c r="B142" s="73"/>
      <c r="C142" s="72"/>
      <c r="D142" s="72"/>
      <c r="E142" s="71"/>
      <c r="F142" s="70"/>
      <c r="G142" s="70"/>
      <c r="H142" s="70"/>
      <c r="I142" s="70"/>
      <c r="J142" s="70"/>
    </row>
    <row r="143" spans="1:10" ht="13" thickBot="1">
      <c r="A143" s="72"/>
      <c r="B143" s="73"/>
      <c r="C143" s="72"/>
      <c r="D143" s="72"/>
      <c r="E143" s="74"/>
      <c r="F143" s="70"/>
      <c r="G143" s="70"/>
      <c r="H143" s="70"/>
      <c r="I143" s="70"/>
      <c r="J143" s="70"/>
    </row>
    <row r="144" spans="1:10" ht="13" thickBot="1">
      <c r="A144" s="72"/>
      <c r="B144" s="73"/>
      <c r="C144" s="72"/>
      <c r="D144" s="72"/>
      <c r="E144" s="74"/>
      <c r="F144" s="70"/>
      <c r="G144" s="70"/>
      <c r="H144" s="70"/>
      <c r="I144" s="70"/>
      <c r="J144" s="70"/>
    </row>
    <row r="145" spans="1:10" ht="13" thickBot="1">
      <c r="A145" s="72"/>
      <c r="B145" s="73"/>
      <c r="C145" s="72"/>
      <c r="D145" s="72"/>
      <c r="E145" s="74"/>
      <c r="F145" s="70"/>
      <c r="G145" s="70"/>
      <c r="H145" s="70"/>
      <c r="I145" s="70"/>
      <c r="J145" s="70"/>
    </row>
    <row r="146" spans="1:10" ht="13" thickBot="1">
      <c r="A146" s="72"/>
      <c r="B146" s="73"/>
      <c r="C146" s="72"/>
      <c r="D146" s="72"/>
      <c r="E146" s="74"/>
      <c r="F146" s="70"/>
      <c r="G146" s="70"/>
      <c r="H146" s="70"/>
      <c r="I146" s="70"/>
      <c r="J146" s="70"/>
    </row>
    <row r="147" spans="1:10" ht="13" thickBot="1">
      <c r="A147" s="72"/>
      <c r="B147" s="73"/>
      <c r="C147" s="72"/>
      <c r="D147" s="72"/>
      <c r="E147" s="74"/>
      <c r="F147" s="70"/>
      <c r="G147" s="70"/>
      <c r="H147" s="70"/>
      <c r="I147" s="70"/>
      <c r="J147" s="70"/>
    </row>
    <row r="148" spans="1:10" ht="13" thickBot="1">
      <c r="A148" s="72"/>
      <c r="B148" s="73"/>
      <c r="C148" s="72"/>
      <c r="D148" s="72"/>
      <c r="E148" s="74"/>
      <c r="F148" s="70"/>
      <c r="G148" s="70"/>
      <c r="H148" s="70"/>
      <c r="I148" s="70"/>
      <c r="J148" s="70"/>
    </row>
    <row r="149" spans="1:10" ht="13" thickBot="1">
      <c r="A149" s="72"/>
      <c r="B149" s="73"/>
      <c r="C149" s="72"/>
      <c r="D149" s="72"/>
      <c r="E149" s="74"/>
      <c r="F149" s="70"/>
      <c r="G149" s="70"/>
      <c r="H149" s="70"/>
      <c r="I149" s="70"/>
      <c r="J149" s="70"/>
    </row>
    <row r="150" spans="1:10" ht="13" thickBot="1">
      <c r="A150" s="72"/>
      <c r="B150" s="73"/>
      <c r="C150" s="72"/>
      <c r="D150" s="72"/>
      <c r="E150" s="74"/>
      <c r="F150" s="70"/>
      <c r="G150" s="70"/>
      <c r="H150" s="70"/>
      <c r="I150" s="70"/>
      <c r="J150" s="70"/>
    </row>
    <row r="151" spans="1:10" ht="13" thickBot="1">
      <c r="A151" s="72"/>
      <c r="B151" s="73"/>
      <c r="C151" s="72"/>
      <c r="D151" s="72"/>
      <c r="E151" s="74"/>
      <c r="F151" s="70"/>
      <c r="G151" s="70"/>
      <c r="H151" s="70"/>
      <c r="I151" s="70"/>
      <c r="J151" s="70"/>
    </row>
    <row r="152" spans="1:10" ht="13" thickBot="1">
      <c r="A152" s="72"/>
      <c r="B152" s="73"/>
      <c r="C152" s="72"/>
      <c r="D152" s="72"/>
      <c r="E152" s="71"/>
      <c r="F152" s="70"/>
      <c r="G152" s="70"/>
      <c r="H152" s="70"/>
      <c r="I152" s="70"/>
      <c r="J152" s="70"/>
    </row>
    <row r="153" spans="1:10" ht="13" thickBot="1">
      <c r="A153" s="72"/>
      <c r="B153" s="73"/>
      <c r="C153" s="72"/>
      <c r="D153" s="72"/>
      <c r="E153" s="71"/>
      <c r="F153" s="70"/>
      <c r="G153" s="70"/>
      <c r="H153" s="70"/>
      <c r="I153" s="70"/>
      <c r="J153" s="70"/>
    </row>
    <row r="154" spans="1:10" ht="13" thickBot="1">
      <c r="A154" s="72"/>
      <c r="B154" s="73"/>
      <c r="C154" s="72"/>
      <c r="D154" s="72"/>
      <c r="E154" s="71"/>
      <c r="F154" s="70"/>
      <c r="G154" s="70"/>
      <c r="H154" s="70"/>
      <c r="I154" s="70"/>
      <c r="J154" s="70"/>
    </row>
    <row r="155" spans="1:10" ht="13" thickBot="1">
      <c r="A155" s="72"/>
      <c r="B155" s="73"/>
      <c r="C155" s="72"/>
      <c r="D155" s="72"/>
      <c r="E155" s="71"/>
      <c r="F155" s="70"/>
      <c r="G155" s="70"/>
      <c r="H155" s="70"/>
      <c r="I155" s="70"/>
      <c r="J155" s="70"/>
    </row>
    <row r="156" spans="1:10" ht="13" thickBot="1">
      <c r="A156" s="72"/>
      <c r="B156" s="73"/>
      <c r="C156" s="72"/>
      <c r="D156" s="72"/>
      <c r="E156" s="74"/>
      <c r="F156" s="70"/>
      <c r="G156" s="70"/>
      <c r="H156" s="70"/>
      <c r="I156" s="70"/>
      <c r="J156" s="70"/>
    </row>
    <row r="157" spans="1:10" ht="13" thickBot="1">
      <c r="A157" s="72" t="s">
        <v>202</v>
      </c>
      <c r="B157" s="73">
        <v>210</v>
      </c>
      <c r="C157" s="72" t="s">
        <v>191</v>
      </c>
      <c r="D157" s="72" t="s">
        <v>192</v>
      </c>
      <c r="E157" s="71">
        <v>6444.7359999999999</v>
      </c>
      <c r="F157" s="70">
        <v>0</v>
      </c>
      <c r="G157" s="70">
        <v>6445.9110000000001</v>
      </c>
      <c r="H157" s="70">
        <v>6445.9110000000001</v>
      </c>
      <c r="I157" s="70">
        <v>0</v>
      </c>
      <c r="J157" s="70">
        <v>1.3859999999999999</v>
      </c>
    </row>
    <row r="158" spans="1:10" ht="13" thickBot="1">
      <c r="A158" s="72" t="s">
        <v>203</v>
      </c>
      <c r="B158" s="73">
        <v>192830</v>
      </c>
      <c r="C158" s="88" t="s">
        <v>200</v>
      </c>
      <c r="D158" s="72" t="s">
        <v>200</v>
      </c>
      <c r="E158" s="71">
        <v>8267.0689999999995</v>
      </c>
      <c r="F158" s="70">
        <v>0</v>
      </c>
      <c r="G158" s="70">
        <v>8267.0689999999995</v>
      </c>
      <c r="H158" s="70">
        <v>8267.0689999999995</v>
      </c>
      <c r="I158" s="70">
        <v>0</v>
      </c>
      <c r="J158" s="70">
        <v>5.492</v>
      </c>
    </row>
    <row r="159" spans="1:10" ht="13" thickBot="1">
      <c r="A159" s="72" t="s">
        <v>204</v>
      </c>
      <c r="B159" s="73">
        <v>21586</v>
      </c>
      <c r="C159" s="72" t="s">
        <v>196</v>
      </c>
      <c r="D159" s="72" t="s">
        <v>205</v>
      </c>
      <c r="E159" s="71">
        <v>996566.59400000004</v>
      </c>
      <c r="F159" s="70">
        <v>90603.467999999993</v>
      </c>
      <c r="G159" s="70">
        <v>923460.179</v>
      </c>
      <c r="H159" s="70">
        <v>923460.179</v>
      </c>
      <c r="I159" s="70">
        <v>0</v>
      </c>
      <c r="J159" s="70">
        <v>463.82400000000001</v>
      </c>
    </row>
    <row r="160" spans="1:10" ht="13" thickBot="1">
      <c r="A160" s="72" t="s">
        <v>206</v>
      </c>
      <c r="B160" s="73">
        <v>201</v>
      </c>
      <c r="C160" s="72" t="s">
        <v>196</v>
      </c>
      <c r="D160" s="72" t="s">
        <v>205</v>
      </c>
      <c r="E160" s="71">
        <v>1423666.61</v>
      </c>
      <c r="F160" s="70">
        <v>129433.571</v>
      </c>
      <c r="G160" s="70">
        <v>1319228.858</v>
      </c>
      <c r="H160" s="70">
        <v>1319228.858</v>
      </c>
      <c r="I160" s="70">
        <v>0</v>
      </c>
      <c r="J160" s="70">
        <v>662.60699999999997</v>
      </c>
    </row>
    <row r="161" spans="1:10" ht="13" thickBot="1">
      <c r="A161" s="72" t="s">
        <v>207</v>
      </c>
      <c r="B161" s="73">
        <v>207</v>
      </c>
      <c r="C161" s="72" t="s">
        <v>196</v>
      </c>
      <c r="D161" s="72" t="s">
        <v>205</v>
      </c>
      <c r="E161" s="71">
        <v>2847333.1979999999</v>
      </c>
      <c r="F161" s="70">
        <v>258867.14199999999</v>
      </c>
      <c r="G161" s="70">
        <v>2638457.6809999999</v>
      </c>
      <c r="H161" s="70">
        <v>2638457.6809999999</v>
      </c>
      <c r="I161" s="70">
        <v>0</v>
      </c>
      <c r="J161" s="70">
        <v>1325.2139999999999</v>
      </c>
    </row>
    <row r="162" spans="1:10" ht="13" thickBot="1">
      <c r="A162" s="72" t="s">
        <v>220</v>
      </c>
      <c r="B162" s="73">
        <v>21588</v>
      </c>
      <c r="C162" s="72" t="s">
        <v>196</v>
      </c>
      <c r="D162" s="72" t="s">
        <v>205</v>
      </c>
      <c r="E162" s="71">
        <v>818182.86899999995</v>
      </c>
      <c r="F162" s="70">
        <v>75493.850000000006</v>
      </c>
      <c r="G162" s="70">
        <v>757472.9</v>
      </c>
      <c r="H162" s="70">
        <v>757472.9</v>
      </c>
      <c r="I162" s="70">
        <v>0</v>
      </c>
      <c r="J162" s="70">
        <v>457.20699999999999</v>
      </c>
    </row>
    <row r="163" spans="1:10" ht="13" thickBot="1">
      <c r="A163" s="72" t="s">
        <v>221</v>
      </c>
      <c r="B163" s="73">
        <v>202</v>
      </c>
      <c r="C163" s="72" t="s">
        <v>196</v>
      </c>
      <c r="D163" s="72" t="s">
        <v>205</v>
      </c>
      <c r="E163" s="71">
        <v>1168834.0830000001</v>
      </c>
      <c r="F163" s="70">
        <v>107846.99</v>
      </c>
      <c r="G163" s="70">
        <v>1082104.047</v>
      </c>
      <c r="H163" s="70">
        <v>1082104.047</v>
      </c>
      <c r="I163" s="70">
        <v>0</v>
      </c>
      <c r="J163" s="70">
        <v>653.15200000000004</v>
      </c>
    </row>
    <row r="164" spans="1:10" ht="13" thickBot="1">
      <c r="A164" s="72" t="s">
        <v>208</v>
      </c>
      <c r="B164" s="73">
        <v>208</v>
      </c>
      <c r="C164" s="72" t="s">
        <v>196</v>
      </c>
      <c r="D164" s="72" t="s">
        <v>205</v>
      </c>
      <c r="E164" s="71">
        <v>2337668.2140000002</v>
      </c>
      <c r="F164" s="70">
        <v>215693.98499999999</v>
      </c>
      <c r="G164" s="70">
        <v>2164208.148</v>
      </c>
      <c r="H164" s="70">
        <v>2164208.148</v>
      </c>
      <c r="I164" s="70">
        <v>0</v>
      </c>
      <c r="J164" s="70">
        <v>1306.3040000000001</v>
      </c>
    </row>
    <row r="165" spans="1:10" ht="13" thickBot="1">
      <c r="A165" s="72" t="s">
        <v>209</v>
      </c>
      <c r="B165" s="73">
        <v>490832</v>
      </c>
      <c r="C165" s="88" t="s">
        <v>200</v>
      </c>
      <c r="D165" s="72" t="s">
        <v>200</v>
      </c>
      <c r="E165" s="71">
        <v>32497.393</v>
      </c>
      <c r="F165" s="70">
        <v>65.465000000000003</v>
      </c>
      <c r="G165" s="70">
        <v>32489.715</v>
      </c>
      <c r="H165" s="70">
        <v>32489.715</v>
      </c>
      <c r="I165" s="70">
        <v>0</v>
      </c>
      <c r="J165" s="70">
        <v>21.459</v>
      </c>
    </row>
    <row r="166" spans="1:10" ht="13" thickBot="1">
      <c r="A166" s="72" t="s">
        <v>210</v>
      </c>
      <c r="B166" s="73">
        <v>212</v>
      </c>
      <c r="C166" s="72" t="s">
        <v>191</v>
      </c>
      <c r="D166" s="72" t="s">
        <v>192</v>
      </c>
      <c r="E166" s="71">
        <v>24879.809000000001</v>
      </c>
      <c r="F166" s="70">
        <v>0</v>
      </c>
      <c r="G166" s="70">
        <v>24882.361000000001</v>
      </c>
      <c r="H166" s="70">
        <v>24882.361000000001</v>
      </c>
      <c r="I166" s="70">
        <v>0</v>
      </c>
      <c r="J166" s="70">
        <v>3.6640000000000001</v>
      </c>
    </row>
    <row r="167" spans="1:10" ht="13" thickBot="1">
      <c r="A167" s="72" t="s">
        <v>211</v>
      </c>
      <c r="B167" s="73">
        <v>187830</v>
      </c>
      <c r="C167" s="88" t="s">
        <v>200</v>
      </c>
      <c r="D167" s="72" t="s">
        <v>200</v>
      </c>
      <c r="E167" s="71">
        <v>3971.8240000000001</v>
      </c>
      <c r="F167" s="70">
        <v>0</v>
      </c>
      <c r="G167" s="70">
        <v>3971.837</v>
      </c>
      <c r="H167" s="70">
        <v>3971.837</v>
      </c>
      <c r="I167" s="70">
        <v>0</v>
      </c>
      <c r="J167" s="70">
        <v>2.7690000000000001</v>
      </c>
    </row>
    <row r="168" spans="1:10" ht="13" thickBot="1">
      <c r="A168" s="72" t="s">
        <v>212</v>
      </c>
      <c r="B168" s="73">
        <v>192831</v>
      </c>
      <c r="C168" s="88" t="s">
        <v>200</v>
      </c>
      <c r="D168" s="72" t="s">
        <v>200</v>
      </c>
      <c r="E168" s="71">
        <v>5618.0159999999996</v>
      </c>
      <c r="F168" s="70">
        <v>0</v>
      </c>
      <c r="G168" s="70">
        <v>5618.0159999999996</v>
      </c>
      <c r="H168" s="70">
        <v>5618.0159999999996</v>
      </c>
      <c r="I168" s="70">
        <v>0</v>
      </c>
      <c r="J168" s="70">
        <v>4.74</v>
      </c>
    </row>
    <row r="170" spans="1:10" ht="12.75" customHeight="1" thickBot="1"/>
    <row r="171" spans="1:10" ht="12.5">
      <c r="A171" s="146" t="s">
        <v>213</v>
      </c>
      <c r="B171" s="147"/>
      <c r="C171" s="147"/>
      <c r="D171" s="147"/>
      <c r="E171" s="146" t="s">
        <v>214</v>
      </c>
      <c r="F171" s="147"/>
      <c r="G171" s="147"/>
      <c r="H171" s="148" t="s">
        <v>215</v>
      </c>
      <c r="I171" s="147"/>
      <c r="J171" s="147"/>
    </row>
    <row r="172" spans="1:10" ht="12.5">
      <c r="A172" s="149" t="s">
        <v>216</v>
      </c>
      <c r="B172" s="150"/>
      <c r="C172" s="150"/>
      <c r="D172" s="150"/>
      <c r="E172" s="150"/>
      <c r="F172" s="150"/>
      <c r="G172" s="150"/>
      <c r="H172" s="150"/>
      <c r="I172" s="150"/>
      <c r="J172" s="150"/>
    </row>
  </sheetData>
  <mergeCells count="66">
    <mergeCell ref="J6:J7"/>
    <mergeCell ref="A1:D4"/>
    <mergeCell ref="E1:G4"/>
    <mergeCell ref="H2:J2"/>
    <mergeCell ref="H3:J3"/>
    <mergeCell ref="H4:J4"/>
    <mergeCell ref="A5:J5"/>
    <mergeCell ref="A6:A7"/>
    <mergeCell ref="B6:B7"/>
    <mergeCell ref="C6:C7"/>
    <mergeCell ref="D6:D7"/>
    <mergeCell ref="E6:E7"/>
    <mergeCell ref="F6:F7"/>
    <mergeCell ref="G6:G7"/>
    <mergeCell ref="H6:H7"/>
    <mergeCell ref="I6:I7"/>
    <mergeCell ref="A51:D51"/>
    <mergeCell ref="E51:G51"/>
    <mergeCell ref="H51:J51"/>
    <mergeCell ref="A52:D52"/>
    <mergeCell ref="E52:G52"/>
    <mergeCell ref="H52:J52"/>
    <mergeCell ref="J66:J67"/>
    <mergeCell ref="A61:D64"/>
    <mergeCell ref="E61:G64"/>
    <mergeCell ref="H62:J62"/>
    <mergeCell ref="H63:J63"/>
    <mergeCell ref="H64:J64"/>
    <mergeCell ref="A65:J65"/>
    <mergeCell ref="A66:A67"/>
    <mergeCell ref="B66:B67"/>
    <mergeCell ref="C66:C67"/>
    <mergeCell ref="D66:D67"/>
    <mergeCell ref="E66:E67"/>
    <mergeCell ref="F66:F67"/>
    <mergeCell ref="G66:G67"/>
    <mergeCell ref="H66:H67"/>
    <mergeCell ref="I66:I67"/>
    <mergeCell ref="A113:D113"/>
    <mergeCell ref="E113:G113"/>
    <mergeCell ref="H113:J113"/>
    <mergeCell ref="A114:D114"/>
    <mergeCell ref="E114:G114"/>
    <mergeCell ref="H114:J114"/>
    <mergeCell ref="J124:J125"/>
    <mergeCell ref="A119:D122"/>
    <mergeCell ref="E119:G122"/>
    <mergeCell ref="H120:J120"/>
    <mergeCell ref="H121:J121"/>
    <mergeCell ref="H122:J122"/>
    <mergeCell ref="A123:J123"/>
    <mergeCell ref="A124:A125"/>
    <mergeCell ref="B124:B125"/>
    <mergeCell ref="C124:C125"/>
    <mergeCell ref="D124:D125"/>
    <mergeCell ref="E124:E125"/>
    <mergeCell ref="F124:F125"/>
    <mergeCell ref="G124:G125"/>
    <mergeCell ref="H124:H125"/>
    <mergeCell ref="I124:I125"/>
    <mergeCell ref="A171:D171"/>
    <mergeCell ref="E171:G171"/>
    <mergeCell ref="H171:J171"/>
    <mergeCell ref="A172:D172"/>
    <mergeCell ref="E172:G172"/>
    <mergeCell ref="H172:J172"/>
  </mergeCells>
  <pageMargins left="0.7" right="0.7" top="0.75" bottom="0.75" header="0.3" footer="0.3"/>
  <pageSetup scale="30" orientation="portrait" r:id="rId1"/>
  <headerFooter>
    <oddHeader xml:space="preserve">&amp;RIndiana Michigan Power Company
WP AJW-3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3AF02-5D5C-415D-8881-BE5921E31165}">
  <sheetPr>
    <pageSetUpPr fitToPage="1"/>
  </sheetPr>
  <dimension ref="A1:E13"/>
  <sheetViews>
    <sheetView view="pageLayout" zoomScaleNormal="100" workbookViewId="0">
      <selection activeCell="B11" sqref="B11"/>
    </sheetView>
  </sheetViews>
  <sheetFormatPr defaultRowHeight="14.5"/>
  <cols>
    <col min="2" max="2" width="46.26953125" bestFit="1" customWidth="1"/>
    <col min="3" max="3" width="17.26953125" customWidth="1"/>
    <col min="4" max="4" width="14.453125" customWidth="1"/>
    <col min="5" max="5" width="16" customWidth="1"/>
  </cols>
  <sheetData>
    <row r="1" spans="1:5">
      <c r="A1" s="89" t="s">
        <v>3</v>
      </c>
      <c r="B1" s="89"/>
      <c r="C1" s="89"/>
      <c r="D1" s="89"/>
      <c r="E1" s="89"/>
    </row>
    <row r="2" spans="1:5">
      <c r="A2" s="89" t="s">
        <v>4</v>
      </c>
      <c r="B2" s="89"/>
      <c r="C2" s="89"/>
      <c r="D2" s="89"/>
      <c r="E2" s="89"/>
    </row>
    <row r="3" spans="1:5">
      <c r="A3" s="89" t="s">
        <v>5</v>
      </c>
      <c r="B3" s="89"/>
      <c r="C3" s="89"/>
      <c r="D3" s="89"/>
      <c r="E3" s="89"/>
    </row>
    <row r="4" spans="1:5">
      <c r="A4" s="2"/>
      <c r="B4" s="2"/>
      <c r="C4" s="2"/>
      <c r="D4" s="2"/>
      <c r="E4" s="2"/>
    </row>
    <row r="5" spans="1:5">
      <c r="C5" s="49"/>
      <c r="D5" s="49"/>
      <c r="E5" s="49"/>
    </row>
    <row r="6" spans="1:5">
      <c r="A6" s="48"/>
      <c r="B6" s="48"/>
      <c r="C6" s="48"/>
      <c r="D6" s="48"/>
      <c r="E6" s="48"/>
    </row>
    <row r="7" spans="1:5">
      <c r="C7" s="49"/>
      <c r="D7" s="49"/>
      <c r="E7" s="49"/>
    </row>
    <row r="8" spans="1:5" ht="29">
      <c r="B8" s="114"/>
      <c r="C8" s="115" t="s">
        <v>6</v>
      </c>
      <c r="D8" s="115" t="s">
        <v>7</v>
      </c>
      <c r="E8" s="115" t="s">
        <v>8</v>
      </c>
    </row>
    <row r="9" spans="1:5">
      <c r="B9" s="116" t="s">
        <v>9</v>
      </c>
      <c r="C9" s="117">
        <f>'Fixed Summary'!F12</f>
        <v>722022437.19480324</v>
      </c>
      <c r="D9" s="118">
        <f>'Fixed Summary'!H12</f>
        <v>3670.3999999999996</v>
      </c>
      <c r="E9" s="119">
        <f>'Fixed Summary'!I12</f>
        <v>538.94498243989926</v>
      </c>
    </row>
    <row r="10" spans="1:5">
      <c r="B10" s="114"/>
      <c r="C10" s="114"/>
      <c r="D10" s="114"/>
      <c r="E10" s="114"/>
    </row>
    <row r="11" spans="1:5" ht="16.5">
      <c r="B11" s="120" t="s">
        <v>10</v>
      </c>
      <c r="C11" s="117">
        <f>'Fixed Summary'!F16</f>
        <v>126780050</v>
      </c>
      <c r="D11" s="121">
        <f>'Fixed Summary'!H16</f>
        <v>870</v>
      </c>
      <c r="E11" s="119">
        <f>'Fixed Summary'!I16</f>
        <v>399.24437096520234</v>
      </c>
    </row>
    <row r="12" spans="1:5" ht="15" thickBot="1">
      <c r="B12" s="114"/>
      <c r="C12" s="114"/>
      <c r="D12" s="114"/>
      <c r="E12" s="114"/>
    </row>
    <row r="13" spans="1:5" ht="15" thickBot="1">
      <c r="B13" s="122" t="s">
        <v>11</v>
      </c>
      <c r="C13" s="123">
        <f>'Fixed Summary'!F18</f>
        <v>848802487.19480324</v>
      </c>
      <c r="D13" s="124">
        <f>'Fixed Summary'!H18</f>
        <v>4540.3999999999996</v>
      </c>
      <c r="E13" s="123">
        <f>'Fixed Summary'!I18</f>
        <v>512.17651887215493</v>
      </c>
    </row>
  </sheetData>
  <pageMargins left="0.7" right="0.7" top="0.75" bottom="0.75" header="0.3" footer="0.3"/>
  <pageSetup scale="88" orientation="portrait" r:id="rId1"/>
  <headerFooter>
    <oddHeader xml:space="preserve">&amp;RIndiana Michigan Power Company
WP AJW-3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26C7-E6BC-4A7A-8753-BE269C1B50FD}">
  <sheetPr>
    <pageSetUpPr fitToPage="1"/>
  </sheetPr>
  <dimension ref="A1:J18"/>
  <sheetViews>
    <sheetView view="pageLayout" zoomScaleNormal="90" workbookViewId="0">
      <selection activeCell="B11" sqref="B11"/>
    </sheetView>
  </sheetViews>
  <sheetFormatPr defaultRowHeight="14.5"/>
  <cols>
    <col min="1" max="1" width="6.26953125" bestFit="1" customWidth="1"/>
    <col min="2" max="2" width="16" bestFit="1" customWidth="1"/>
    <col min="3" max="3" width="13.1796875" style="49" bestFit="1" customWidth="1"/>
    <col min="4" max="4" width="16.81640625" style="49" customWidth="1"/>
    <col min="5" max="5" width="14.54296875" style="49" bestFit="1" customWidth="1"/>
    <col min="6" max="6" width="13.1796875" style="49" bestFit="1" customWidth="1"/>
    <col min="7" max="7" width="2.7265625" style="49" customWidth="1"/>
    <col min="8" max="8" width="10" style="83" bestFit="1" customWidth="1"/>
    <col min="9" max="9" width="12" style="49" bestFit="1" customWidth="1"/>
    <col min="10" max="10" width="42.81640625" bestFit="1" customWidth="1"/>
  </cols>
  <sheetData>
    <row r="1" spans="1:10">
      <c r="A1" s="133"/>
      <c r="B1" s="133"/>
      <c r="C1" s="133"/>
      <c r="D1" s="133"/>
      <c r="E1" s="133"/>
      <c r="F1" s="133"/>
      <c r="G1" s="133"/>
      <c r="H1" s="133"/>
      <c r="I1" s="133"/>
    </row>
    <row r="2" spans="1:10">
      <c r="A2" s="133"/>
      <c r="B2" s="133"/>
      <c r="C2" s="133"/>
      <c r="D2" s="133"/>
      <c r="E2" s="133"/>
      <c r="F2" s="133"/>
      <c r="G2" s="133"/>
      <c r="H2" s="133"/>
      <c r="I2" s="133"/>
    </row>
    <row r="3" spans="1:10">
      <c r="A3" s="133"/>
      <c r="B3" s="133"/>
      <c r="C3" s="133"/>
      <c r="D3" s="133"/>
      <c r="E3" s="133"/>
      <c r="F3" s="133"/>
      <c r="G3" s="133"/>
      <c r="H3" s="133"/>
      <c r="I3" s="133"/>
    </row>
    <row r="4" spans="1:10">
      <c r="A4" s="2"/>
      <c r="B4" s="2"/>
      <c r="C4" s="2"/>
      <c r="D4" s="2"/>
      <c r="E4" s="2"/>
      <c r="F4" s="2"/>
      <c r="G4" s="2"/>
      <c r="H4" s="2"/>
      <c r="I4" s="2"/>
    </row>
    <row r="5" spans="1:10">
      <c r="C5" s="132" t="s">
        <v>12</v>
      </c>
      <c r="D5" s="132"/>
      <c r="E5" s="132"/>
      <c r="F5" s="132"/>
      <c r="G5" s="128"/>
      <c r="H5" s="82"/>
      <c r="I5" s="128"/>
    </row>
    <row r="6" spans="1:10" s="48" customFormat="1" ht="43.5">
      <c r="A6" s="93" t="s">
        <v>13</v>
      </c>
      <c r="B6" s="93" t="s">
        <v>14</v>
      </c>
      <c r="C6" s="94" t="s">
        <v>15</v>
      </c>
      <c r="D6" s="94" t="s">
        <v>16</v>
      </c>
      <c r="E6" s="94" t="s">
        <v>17</v>
      </c>
      <c r="F6" s="94" t="s">
        <v>18</v>
      </c>
      <c r="G6" s="94"/>
      <c r="H6" s="95" t="s">
        <v>19</v>
      </c>
      <c r="I6" s="94" t="s">
        <v>8</v>
      </c>
    </row>
    <row r="7" spans="1:10">
      <c r="A7" t="s">
        <v>20</v>
      </c>
      <c r="B7" t="s">
        <v>21</v>
      </c>
      <c r="C7" s="49">
        <f>+'Detail by BU, Gen Type'!I5</f>
        <v>25052791.487683851</v>
      </c>
      <c r="D7" s="49">
        <f>+'Detail by BU, Gen Type'!K5</f>
        <v>116916740.76000002</v>
      </c>
      <c r="E7" s="49">
        <f>+'Detail by BU, Gen Type'!J5</f>
        <v>12904564.999999998</v>
      </c>
      <c r="F7" s="49">
        <f t="shared" ref="F7:F9" si="0">SUM(C7:E7)</f>
        <v>154874097.24768388</v>
      </c>
      <c r="H7" s="83">
        <f>SUMIFS(Capacity!$D$3:$D$110,Capacity!$A$3:$A$110,A7,Capacity!$B$3:$B$110,B7)</f>
        <v>1320</v>
      </c>
      <c r="I7" s="49">
        <f>+F7/H7/365</f>
        <v>321.44893575691964</v>
      </c>
      <c r="J7" s="84"/>
    </row>
    <row r="8" spans="1:10">
      <c r="A8" t="s">
        <v>20</v>
      </c>
      <c r="B8" t="s">
        <v>22</v>
      </c>
      <c r="C8" s="49">
        <f>+'Detail by BU, Gen Type'!I6</f>
        <v>143970992.65591195</v>
      </c>
      <c r="D8" s="49">
        <f>+'Detail by BU, Gen Type'!K6</f>
        <v>184877264.28</v>
      </c>
      <c r="E8" s="49">
        <f>+'Detail by BU, Gen Type'!J6</f>
        <v>223154491</v>
      </c>
      <c r="F8" s="49">
        <f t="shared" si="0"/>
        <v>552002747.93591189</v>
      </c>
      <c r="H8" s="83">
        <f>SUMIFS(Capacity!$D$3:$D$110,Capacity!$A$3:$A$110,A8,Capacity!$B$3:$B$110,B8)</f>
        <v>2296</v>
      </c>
      <c r="I8" s="49">
        <f t="shared" ref="I8:I10" si="1">+F8/H8/365</f>
        <v>658.68305562492469</v>
      </c>
    </row>
    <row r="9" spans="1:10">
      <c r="A9" t="s">
        <v>20</v>
      </c>
      <c r="B9" t="s">
        <v>23</v>
      </c>
      <c r="C9" s="49">
        <f>+'Detail by BU, Gen Type'!I7</f>
        <v>2326179.5888594398</v>
      </c>
      <c r="D9" s="49">
        <f>+'Detail by BU, Gen Type'!K7</f>
        <v>2227946.52</v>
      </c>
      <c r="E9" s="49">
        <f>+'Detail by BU, Gen Type'!J7</f>
        <v>3235149.6666666665</v>
      </c>
      <c r="F9" s="49">
        <f t="shared" si="0"/>
        <v>7789275.7755261064</v>
      </c>
      <c r="H9" s="83">
        <f>SUMIFS(Capacity!$D$3:$D$110,Capacity!$A$3:$A$110,A9,Capacity!$B$3:$B$110,B9)</f>
        <v>19.7</v>
      </c>
      <c r="I9" s="49">
        <f t="shared" si="1"/>
        <v>1083.27317648649</v>
      </c>
    </row>
    <row r="10" spans="1:10">
      <c r="A10" t="s">
        <v>20</v>
      </c>
      <c r="B10" t="s">
        <v>24</v>
      </c>
      <c r="C10" s="49">
        <f>+'Detail by BU, Gen Type'!I8</f>
        <v>3587978.262348</v>
      </c>
      <c r="D10" s="49">
        <f>+'Detail by BU, Gen Type'!K8</f>
        <v>3123236.6399999997</v>
      </c>
      <c r="E10" s="49">
        <f>+'Detail by BU, Gen Type'!J8</f>
        <v>645101.33333333337</v>
      </c>
      <c r="F10" s="49">
        <f>SUM(C10:E10)</f>
        <v>7356316.2356813326</v>
      </c>
      <c r="H10" s="83">
        <f>SUMIFS(Capacity!$D$3:$D$110,Capacity!$A$3:$A$110,A10,Capacity!$B$3:$B$110,B10)</f>
        <v>34.700000000000003</v>
      </c>
      <c r="I10" s="49">
        <f t="shared" si="1"/>
        <v>580.81530422654703</v>
      </c>
    </row>
    <row r="11" spans="1:10">
      <c r="A11" s="98"/>
      <c r="B11" s="98"/>
      <c r="C11" s="91"/>
      <c r="D11" s="91"/>
      <c r="E11" s="91"/>
      <c r="F11" s="91"/>
      <c r="G11" s="91"/>
      <c r="H11" s="92"/>
      <c r="I11" s="91"/>
    </row>
    <row r="12" spans="1:10">
      <c r="A12" s="89" t="s">
        <v>25</v>
      </c>
      <c r="B12" s="89"/>
      <c r="C12" s="96"/>
      <c r="D12" s="96"/>
      <c r="E12" s="96"/>
      <c r="F12" s="96">
        <f>SUM(F7:F10)</f>
        <v>722022437.19480324</v>
      </c>
      <c r="G12" s="96"/>
      <c r="H12" s="97">
        <f>SUM(H7:H10)</f>
        <v>3670.3999999999996</v>
      </c>
      <c r="I12" s="96">
        <f>+F12/H12/365</f>
        <v>538.94498243989926</v>
      </c>
    </row>
    <row r="16" spans="1:10">
      <c r="D16" s="112" t="s">
        <v>26</v>
      </c>
      <c r="E16" s="112"/>
      <c r="F16" s="101">
        <v>126780050</v>
      </c>
      <c r="H16" s="83">
        <v>870</v>
      </c>
      <c r="I16" s="49">
        <f>F16/H16/365</f>
        <v>399.24437096520234</v>
      </c>
    </row>
    <row r="18" spans="5:9">
      <c r="E18" s="99" t="s">
        <v>27</v>
      </c>
      <c r="F18" s="99">
        <f>F16+F12</f>
        <v>848802487.19480324</v>
      </c>
      <c r="G18" s="99"/>
      <c r="H18" s="100">
        <f>H16+H12</f>
        <v>4540.3999999999996</v>
      </c>
      <c r="I18" s="99">
        <f>F18/H18/365</f>
        <v>512.17651887215493</v>
      </c>
    </row>
  </sheetData>
  <mergeCells count="4">
    <mergeCell ref="C5:F5"/>
    <mergeCell ref="A1:I1"/>
    <mergeCell ref="A2:I2"/>
    <mergeCell ref="A3:I3"/>
  </mergeCells>
  <pageMargins left="0.7" right="0.7" top="0.75" bottom="0.75" header="0.3" footer="0.3"/>
  <pageSetup scale="86" orientation="portrait" r:id="rId1"/>
  <headerFooter>
    <oddHeader xml:space="preserve">&amp;RIndiana Michigan Power Company
WP AJW-3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06C58-5B42-400B-B343-40628CAB09AD}">
  <sheetPr>
    <pageSetUpPr fitToPage="1"/>
  </sheetPr>
  <dimension ref="A3:M8"/>
  <sheetViews>
    <sheetView view="pageLayout" zoomScaleNormal="100" workbookViewId="0">
      <selection activeCell="B11" sqref="B11"/>
    </sheetView>
  </sheetViews>
  <sheetFormatPr defaultColWidth="9.1796875" defaultRowHeight="14.5"/>
  <cols>
    <col min="1" max="1" width="9.1796875" style="102"/>
    <col min="2" max="2" width="11" style="102" bestFit="1" customWidth="1"/>
    <col min="3" max="3" width="13.81640625" style="103" bestFit="1" customWidth="1"/>
    <col min="4" max="4" width="11.81640625" style="103" bestFit="1" customWidth="1"/>
    <col min="5" max="5" width="12.81640625" style="103" bestFit="1" customWidth="1"/>
    <col min="6" max="7" width="13.81640625" style="103" bestFit="1" customWidth="1"/>
    <col min="8" max="8" width="11" style="104" bestFit="1" customWidth="1"/>
    <col min="9" max="9" width="12.1796875" style="103" bestFit="1" customWidth="1"/>
    <col min="10" max="10" width="14.453125" style="103" bestFit="1" customWidth="1"/>
    <col min="11" max="11" width="12.1796875" style="103" bestFit="1" customWidth="1"/>
    <col min="12" max="12" width="10.81640625" style="105" bestFit="1" customWidth="1"/>
    <col min="13" max="13" width="9.1796875" style="102"/>
    <col min="14" max="14" width="17.54296875" style="102" bestFit="1" customWidth="1"/>
    <col min="15" max="16384" width="9.1796875" style="102"/>
  </cols>
  <sheetData>
    <row r="3" spans="1:13">
      <c r="A3" s="106"/>
      <c r="B3" s="106"/>
      <c r="C3" s="107"/>
      <c r="D3" s="107" t="s">
        <v>28</v>
      </c>
      <c r="E3" s="107" t="s">
        <v>28</v>
      </c>
      <c r="F3" s="107"/>
      <c r="G3" s="107"/>
      <c r="H3" s="108"/>
      <c r="I3" s="107"/>
      <c r="J3" s="125" t="s">
        <v>29</v>
      </c>
    </row>
    <row r="4" spans="1:13" ht="43.5">
      <c r="A4" s="109" t="s">
        <v>13</v>
      </c>
      <c r="B4" s="109" t="s">
        <v>14</v>
      </c>
      <c r="C4" s="110" t="s">
        <v>30</v>
      </c>
      <c r="D4" s="110" t="s">
        <v>31</v>
      </c>
      <c r="E4" s="110" t="s">
        <v>32</v>
      </c>
      <c r="F4" s="110" t="s">
        <v>33</v>
      </c>
      <c r="G4" s="110" t="s">
        <v>34</v>
      </c>
      <c r="H4" s="111" t="s">
        <v>35</v>
      </c>
      <c r="I4" s="110" t="s">
        <v>36</v>
      </c>
      <c r="J4" s="110" t="s">
        <v>37</v>
      </c>
      <c r="K4" s="110" t="s">
        <v>16</v>
      </c>
      <c r="L4" s="102"/>
    </row>
    <row r="5" spans="1:13">
      <c r="A5" s="102" t="s">
        <v>20</v>
      </c>
      <c r="B5" s="102" t="s">
        <v>21</v>
      </c>
      <c r="C5" s="103">
        <f>SUMIFS('By Plant Workpaper'!D$5:D$9,'By Plant Workpaper'!$A$5:$A$9,$A5,'By Plant Workpaper'!$B$5:$B$9,$B5)</f>
        <v>544538979.42404985</v>
      </c>
      <c r="D5" s="103">
        <f>SUMIFS('By Plant Workpaper'!E$5:E$9,'By Plant Workpaper'!$A$5:$A$9,$A5,'By Plant Workpaper'!$B$5:$B$9,$B5)</f>
        <v>-71504897.00999999</v>
      </c>
      <c r="E5" s="103">
        <f>SUMIFS('By Plant Workpaper'!F$5:F$9,'By Plant Workpaper'!$A$5:$A$9,$A5,'By Plant Workpaper'!$B$5:$B$9,$B5)</f>
        <v>-63674744.379999995</v>
      </c>
      <c r="F5" s="103">
        <f t="shared" ref="F5:F8" si="0">SUM(C5:E5)</f>
        <v>409359338.03404987</v>
      </c>
      <c r="G5" s="103">
        <f>+F5</f>
        <v>409359338.03404987</v>
      </c>
      <c r="H5" s="104">
        <f>AVERAGEIFS('By Plant Workpaper'!I$5:I$9,'By Plant Workpaper'!$A$5:$A$9,$A5,'By Plant Workpaper'!$B$5:$B$9,$B5)</f>
        <v>6.1199999999999997E-2</v>
      </c>
      <c r="I5" s="103">
        <f t="shared" ref="I5:I8" si="1">+G5*H5</f>
        <v>25052791.487683851</v>
      </c>
      <c r="J5" s="103">
        <f>+'O&amp;M'!P101</f>
        <v>12904564.999999998</v>
      </c>
      <c r="K5" s="103">
        <f>SUMIFS('By Plant Workpaper'!K$5:K$9,'By Plant Workpaper'!$A$5:$A$9,$A5,'By Plant Workpaper'!$B$5:$B$9,$B5)</f>
        <v>116916740.76000002</v>
      </c>
      <c r="L5" s="102"/>
    </row>
    <row r="6" spans="1:13">
      <c r="A6" s="102" t="s">
        <v>20</v>
      </c>
      <c r="B6" s="102" t="s">
        <v>22</v>
      </c>
      <c r="C6" s="103">
        <f>SUMIFS('By Plant Workpaper'!D$5:D$9,'By Plant Workpaper'!$A$5:$A$9,$A6,'By Plant Workpaper'!$B$5:$B$9,$B6)</f>
        <v>2280458970.6499991</v>
      </c>
      <c r="D6" s="103">
        <f>SUMIFS('By Plant Workpaper'!E$5:E$9,'By Plant Workpaper'!$A$5:$A$9,$A6,'By Plant Workpaper'!$B$5:$B$9,$B6)</f>
        <v>72008229.610000014</v>
      </c>
      <c r="E6" s="103">
        <f>SUMIFS('By Plant Workpaper'!F$5:F$9,'By Plant Workpaper'!$A$5:$A$9,$A6,'By Plant Workpaper'!$B$5:$B$9,$B6)</f>
        <v>0</v>
      </c>
      <c r="F6" s="103">
        <f t="shared" si="0"/>
        <v>2352467200.2599993</v>
      </c>
      <c r="G6" s="103">
        <f t="shared" ref="G6:G8" si="2">+F6</f>
        <v>2352467200.2599993</v>
      </c>
      <c r="H6" s="104">
        <f>AVERAGEIFS('By Plant Workpaper'!I$5:I$9,'By Plant Workpaper'!$A$5:$A$9,$A6,'By Plant Workpaper'!$B$5:$B$9,$B6)</f>
        <v>6.1199999999999997E-2</v>
      </c>
      <c r="I6" s="103">
        <f t="shared" si="1"/>
        <v>143970992.65591195</v>
      </c>
      <c r="J6" s="103">
        <f>+'O&amp;M'!C26</f>
        <v>223154491</v>
      </c>
      <c r="K6" s="103">
        <f>SUMIFS('By Plant Workpaper'!K$5:K$9,'By Plant Workpaper'!$A$5:$A$9,$A6,'By Plant Workpaper'!$B$5:$B$9,$B6)</f>
        <v>184877264.28</v>
      </c>
      <c r="L6" s="102"/>
    </row>
    <row r="7" spans="1:13">
      <c r="A7" s="102" t="s">
        <v>20</v>
      </c>
      <c r="B7" s="102" t="s">
        <v>23</v>
      </c>
      <c r="C7" s="103">
        <f>SUMIFS('By Plant Workpaper'!D$5:D$9,'By Plant Workpaper'!$A$5:$A$9,$A7,'By Plant Workpaper'!$B$5:$B$9,$B7)</f>
        <v>42305057.516199999</v>
      </c>
      <c r="D7" s="103">
        <f>SUMIFS('By Plant Workpaper'!E$5:E$9,'By Plant Workpaper'!$A$5:$A$9,$A7,'By Plant Workpaper'!$B$5:$B$9,$B7)</f>
        <v>-3775001.7600000007</v>
      </c>
      <c r="E7" s="103">
        <f>SUMIFS('By Plant Workpaper'!F$5:F$9,'By Plant Workpaper'!$A$5:$A$9,$A7,'By Plant Workpaper'!$B$5:$B$9,$B7)</f>
        <v>-520585.35</v>
      </c>
      <c r="F7" s="103">
        <f t="shared" si="0"/>
        <v>38009470.406199999</v>
      </c>
      <c r="G7" s="103">
        <f t="shared" si="2"/>
        <v>38009470.406199999</v>
      </c>
      <c r="H7" s="104">
        <f>AVERAGEIFS('By Plant Workpaper'!I$5:I$9,'By Plant Workpaper'!$A$5:$A$9,$A7,'By Plant Workpaper'!$B$5:$B$9,$B7)</f>
        <v>6.1199999999999997E-2</v>
      </c>
      <c r="I7" s="103">
        <f t="shared" si="1"/>
        <v>2326179.5888594398</v>
      </c>
      <c r="J7" s="103">
        <f>+'O&amp;M'!C34</f>
        <v>3235149.6666666665</v>
      </c>
      <c r="K7" s="103">
        <f>SUMIFS('By Plant Workpaper'!K$5:K$9,'By Plant Workpaper'!$A$5:$A$9,$A7,'By Plant Workpaper'!$B$5:$B$9,$B7)</f>
        <v>2227946.52</v>
      </c>
      <c r="L7" s="102"/>
      <c r="M7" s="104"/>
    </row>
    <row r="8" spans="1:13">
      <c r="A8" s="102" t="s">
        <v>20</v>
      </c>
      <c r="B8" s="102" t="s">
        <v>24</v>
      </c>
      <c r="C8" s="103">
        <f>SUMIFS('By Plant Workpaper'!D$5:D$9,'By Plant Workpaper'!$A$5:$A$9,$A8,'By Plant Workpaper'!$B$5:$B$9,$B8)</f>
        <v>59037574.659999996</v>
      </c>
      <c r="D8" s="103">
        <f>SUMIFS('By Plant Workpaper'!E$5:E$9,'By Plant Workpaper'!$A$5:$A$9,$A8,'By Plant Workpaper'!$B$5:$B$9,$B8)</f>
        <v>-410478.87000000005</v>
      </c>
      <c r="E8" s="103">
        <f>SUMIFS('By Plant Workpaper'!F$5:F$9,'By Plant Workpaper'!$A$5:$A$9,$A8,'By Plant Workpaper'!$B$5:$B$9,$B8)</f>
        <v>0</v>
      </c>
      <c r="F8" s="103">
        <f t="shared" si="0"/>
        <v>58627095.789999999</v>
      </c>
      <c r="G8" s="103">
        <f t="shared" si="2"/>
        <v>58627095.789999999</v>
      </c>
      <c r="H8" s="104">
        <f>AVERAGEIFS('By Plant Workpaper'!I$5:I$9,'By Plant Workpaper'!$A$5:$A$9,$A8,'By Plant Workpaper'!$B$5:$B$9,$B8)</f>
        <v>6.1199999999999997E-2</v>
      </c>
      <c r="I8" s="103">
        <f t="shared" si="1"/>
        <v>3587978.262348</v>
      </c>
      <c r="J8" s="103">
        <f>+'O&amp;M'!G74</f>
        <v>645101.33333333337</v>
      </c>
      <c r="K8" s="103">
        <f>SUMIFS('By Plant Workpaper'!K$5:K$9,'By Plant Workpaper'!$A$5:$A$9,$A8,'By Plant Workpaper'!$B$5:$B$9,$B8)</f>
        <v>3123236.6399999997</v>
      </c>
      <c r="L8" s="102"/>
      <c r="M8" s="104"/>
    </row>
  </sheetData>
  <pageMargins left="0.7" right="0.7" top="0.75" bottom="0.75" header="0.3" footer="0.3"/>
  <pageSetup scale="66" orientation="portrait" r:id="rId1"/>
  <headerFooter>
    <oddHeader xml:space="preserve">&amp;RIndiana Michigan Power Company
WP AJW-3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775DB-D967-4421-9366-CF252436E784}">
  <sheetPr>
    <pageSetUpPr fitToPage="1"/>
  </sheetPr>
  <dimension ref="A1:C7"/>
  <sheetViews>
    <sheetView view="pageLayout" zoomScaleNormal="100" workbookViewId="0">
      <selection activeCell="B11" sqref="B11"/>
    </sheetView>
  </sheetViews>
  <sheetFormatPr defaultRowHeight="14.5"/>
  <cols>
    <col min="1" max="1" width="28.453125" bestFit="1" customWidth="1"/>
    <col min="2" max="2" width="37.54296875" style="2" bestFit="1" customWidth="1"/>
    <col min="3" max="3" width="67.7265625" style="48" customWidth="1"/>
  </cols>
  <sheetData>
    <row r="1" spans="1:3">
      <c r="B1" s="113" t="s">
        <v>38</v>
      </c>
      <c r="C1" s="93" t="s">
        <v>39</v>
      </c>
    </row>
    <row r="2" spans="1:3">
      <c r="A2" t="s">
        <v>40</v>
      </c>
      <c r="B2" s="2" t="s">
        <v>41</v>
      </c>
      <c r="C2" s="48" t="s">
        <v>42</v>
      </c>
    </row>
    <row r="3" spans="1:3">
      <c r="A3" t="s">
        <v>43</v>
      </c>
      <c r="B3" s="2" t="s">
        <v>41</v>
      </c>
      <c r="C3" s="48" t="s">
        <v>44</v>
      </c>
    </row>
    <row r="4" spans="1:3">
      <c r="A4" t="s">
        <v>45</v>
      </c>
      <c r="B4" s="2" t="s">
        <v>46</v>
      </c>
    </row>
    <row r="5" spans="1:3" ht="29">
      <c r="A5" t="s">
        <v>47</v>
      </c>
      <c r="B5" s="2" t="s">
        <v>48</v>
      </c>
      <c r="C5" s="48" t="s">
        <v>49</v>
      </c>
    </row>
    <row r="6" spans="1:3">
      <c r="A6" t="s">
        <v>50</v>
      </c>
      <c r="B6" s="2" t="s">
        <v>51</v>
      </c>
    </row>
    <row r="7" spans="1:3">
      <c r="A7" t="s">
        <v>52</v>
      </c>
      <c r="B7" s="2" t="s">
        <v>53</v>
      </c>
    </row>
  </sheetData>
  <pageMargins left="0.7" right="0.7" top="0.75" bottom="0.75" header="0.3" footer="0.3"/>
  <pageSetup scale="67" orientation="portrait" r:id="rId1"/>
  <headerFooter>
    <oddHeader xml:space="preserve">&amp;RIndiana Michigan Power Company
WP AJW-3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6FED-C0E3-4435-84BE-F737F6B1E981}">
  <sheetPr>
    <pageSetUpPr fitToPage="1"/>
  </sheetPr>
  <dimension ref="A1:D15"/>
  <sheetViews>
    <sheetView view="pageLayout" zoomScaleNormal="100" workbookViewId="0">
      <selection activeCell="B11" sqref="B11"/>
    </sheetView>
  </sheetViews>
  <sheetFormatPr defaultRowHeight="14.5"/>
  <cols>
    <col min="3" max="3" width="15.26953125" bestFit="1" customWidth="1"/>
    <col min="4" max="4" width="11.54296875" style="83" bestFit="1" customWidth="1"/>
  </cols>
  <sheetData>
    <row r="1" spans="1:4">
      <c r="A1" t="s">
        <v>54</v>
      </c>
    </row>
    <row r="2" spans="1:4">
      <c r="D2" s="83" t="s">
        <v>55</v>
      </c>
    </row>
    <row r="3" spans="1:4">
      <c r="A3" t="s">
        <v>20</v>
      </c>
      <c r="B3" t="s">
        <v>21</v>
      </c>
      <c r="C3" t="s">
        <v>56</v>
      </c>
      <c r="D3" s="83">
        <v>1320</v>
      </c>
    </row>
    <row r="4" spans="1:4">
      <c r="A4" t="s">
        <v>20</v>
      </c>
      <c r="B4" t="s">
        <v>23</v>
      </c>
      <c r="C4" t="s">
        <v>57</v>
      </c>
      <c r="D4" s="83">
        <v>6.9</v>
      </c>
    </row>
    <row r="5" spans="1:4">
      <c r="A5" t="s">
        <v>20</v>
      </c>
      <c r="B5" t="s">
        <v>23</v>
      </c>
      <c r="C5" t="s">
        <v>58</v>
      </c>
      <c r="D5" s="83">
        <v>3.1</v>
      </c>
    </row>
    <row r="6" spans="1:4">
      <c r="A6" t="s">
        <v>20</v>
      </c>
      <c r="B6" t="s">
        <v>23</v>
      </c>
      <c r="C6" t="s">
        <v>59</v>
      </c>
      <c r="D6" s="83">
        <v>1.2</v>
      </c>
    </row>
    <row r="7" spans="1:4">
      <c r="A7" t="s">
        <v>20</v>
      </c>
      <c r="B7" t="s">
        <v>23</v>
      </c>
      <c r="C7" t="s">
        <v>60</v>
      </c>
      <c r="D7" s="83">
        <v>2.7</v>
      </c>
    </row>
    <row r="8" spans="1:4">
      <c r="A8" t="s">
        <v>20</v>
      </c>
      <c r="B8" t="s">
        <v>23</v>
      </c>
      <c r="C8" t="s">
        <v>61</v>
      </c>
      <c r="D8" s="83">
        <v>1.6</v>
      </c>
    </row>
    <row r="9" spans="1:4">
      <c r="A9" t="s">
        <v>20</v>
      </c>
      <c r="B9" t="s">
        <v>23</v>
      </c>
      <c r="C9" t="s">
        <v>62</v>
      </c>
      <c r="D9" s="83">
        <v>4.2</v>
      </c>
    </row>
    <row r="10" spans="1:4">
      <c r="A10" t="s">
        <v>20</v>
      </c>
      <c r="B10" t="s">
        <v>22</v>
      </c>
      <c r="C10" t="s">
        <v>63</v>
      </c>
      <c r="D10" s="83">
        <v>2296</v>
      </c>
    </row>
    <row r="11" spans="1:4">
      <c r="A11" t="s">
        <v>20</v>
      </c>
      <c r="B11" t="s">
        <v>24</v>
      </c>
      <c r="C11" t="s">
        <v>62</v>
      </c>
      <c r="D11" s="83">
        <v>2.6</v>
      </c>
    </row>
    <row r="12" spans="1:4">
      <c r="A12" t="s">
        <v>20</v>
      </c>
      <c r="B12" t="s">
        <v>24</v>
      </c>
      <c r="C12" t="s">
        <v>64</v>
      </c>
      <c r="D12" s="83">
        <v>2.5</v>
      </c>
    </row>
    <row r="13" spans="1:4">
      <c r="A13" t="s">
        <v>20</v>
      </c>
      <c r="B13" t="s">
        <v>24</v>
      </c>
      <c r="C13" t="s">
        <v>65</v>
      </c>
      <c r="D13" s="83">
        <v>5</v>
      </c>
    </row>
    <row r="14" spans="1:4">
      <c r="A14" t="s">
        <v>20</v>
      </c>
      <c r="B14" t="s">
        <v>24</v>
      </c>
      <c r="C14" t="s">
        <v>66</v>
      </c>
      <c r="D14" s="83">
        <v>4.5999999999999996</v>
      </c>
    </row>
    <row r="15" spans="1:4">
      <c r="A15" t="s">
        <v>20</v>
      </c>
      <c r="B15" t="s">
        <v>24</v>
      </c>
      <c r="C15" t="s">
        <v>67</v>
      </c>
      <c r="D15" s="83">
        <v>20</v>
      </c>
    </row>
  </sheetData>
  <pageMargins left="0.7" right="0.7" top="0.75" bottom="0.75" header="0.3" footer="0.3"/>
  <pageSetup orientation="portrait" r:id="rId1"/>
  <headerFooter>
    <oddHeader xml:space="preserve">&amp;RIndiana Michigan Power Company
WP AJW-3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24CD5-31C1-4466-B916-AEEC9D9889D6}">
  <sheetPr>
    <pageSetUpPr fitToPage="1"/>
  </sheetPr>
  <dimension ref="A3:L10"/>
  <sheetViews>
    <sheetView view="pageLayout" zoomScaleNormal="100" workbookViewId="0">
      <selection activeCell="B11" sqref="B11"/>
    </sheetView>
  </sheetViews>
  <sheetFormatPr defaultRowHeight="14.5"/>
  <cols>
    <col min="2" max="3" width="15.54296875" bestFit="1" customWidth="1"/>
    <col min="4" max="4" width="14.81640625" style="49" bestFit="1" customWidth="1"/>
    <col min="5" max="6" width="11.81640625" style="49" bestFit="1" customWidth="1"/>
    <col min="7" max="8" width="13.81640625" style="49" bestFit="1" customWidth="1"/>
    <col min="9" max="9" width="8.7265625" style="1"/>
    <col min="10" max="10" width="11.81640625" style="49" bestFit="1" customWidth="1"/>
    <col min="11" max="11" width="12.453125" style="49" bestFit="1" customWidth="1"/>
    <col min="12" max="12" width="12.1796875" style="49" bestFit="1" customWidth="1"/>
  </cols>
  <sheetData>
    <row r="3" spans="1:12" s="2" customFormat="1">
      <c r="D3" s="128"/>
      <c r="E3" s="128" t="s">
        <v>28</v>
      </c>
      <c r="F3" s="128" t="s">
        <v>28</v>
      </c>
      <c r="G3" s="128"/>
      <c r="H3" s="128"/>
      <c r="I3" s="3"/>
      <c r="J3" s="128"/>
      <c r="K3" s="128"/>
      <c r="L3" s="128"/>
    </row>
    <row r="4" spans="1:12" s="48" customFormat="1" ht="43.5">
      <c r="A4" s="48" t="s">
        <v>13</v>
      </c>
      <c r="B4" s="48" t="s">
        <v>14</v>
      </c>
      <c r="C4" s="48" t="s">
        <v>68</v>
      </c>
      <c r="D4" s="50" t="s">
        <v>30</v>
      </c>
      <c r="E4" s="50" t="s">
        <v>31</v>
      </c>
      <c r="F4" s="50" t="s">
        <v>32</v>
      </c>
      <c r="G4" s="50" t="s">
        <v>33</v>
      </c>
      <c r="H4" s="50" t="s">
        <v>34</v>
      </c>
      <c r="I4" s="51" t="s">
        <v>35</v>
      </c>
      <c r="J4" s="50" t="s">
        <v>15</v>
      </c>
      <c r="K4" s="50" t="s">
        <v>16</v>
      </c>
      <c r="L4" s="50" t="s">
        <v>69</v>
      </c>
    </row>
    <row r="5" spans="1:12">
      <c r="A5" t="s">
        <v>20</v>
      </c>
      <c r="B5" t="s">
        <v>21</v>
      </c>
      <c r="C5" t="s">
        <v>70</v>
      </c>
      <c r="D5" s="49">
        <f>+'NBV By Fuel Type'!E7</f>
        <v>353819042.92769998</v>
      </c>
      <c r="E5" s="49">
        <f>-'NBV By Fuel Type'!G7</f>
        <v>-52647802.999999993</v>
      </c>
      <c r="F5" s="49">
        <f>-'NBV By Fuel Type'!I7</f>
        <v>-31836579.300000001</v>
      </c>
      <c r="G5" s="49">
        <f t="shared" ref="G5" si="0">SUM(D5:F5)</f>
        <v>269334660.62769997</v>
      </c>
      <c r="H5" s="49">
        <f>+G5</f>
        <v>269334660.62769997</v>
      </c>
      <c r="I5" s="1">
        <f>SUMIF('Rate of Return'!$A$2:$A$2,'By Plant Workpaper'!A5,'Rate of Return'!$B$2:$B$2)</f>
        <v>6.1199999999999997E-2</v>
      </c>
      <c r="J5" s="49">
        <f t="shared" ref="J5:J6" si="1">+H5*I5</f>
        <v>16483281.230415238</v>
      </c>
      <c r="K5" s="49">
        <f>+'NBV By Fuel Type'!K7</f>
        <v>73543636.200000018</v>
      </c>
      <c r="L5" s="49">
        <f>SUM(J5:K5)</f>
        <v>90026917.430415258</v>
      </c>
    </row>
    <row r="6" spans="1:12">
      <c r="A6" t="s">
        <v>20</v>
      </c>
      <c r="B6" t="s">
        <v>21</v>
      </c>
      <c r="C6" t="s">
        <v>71</v>
      </c>
      <c r="D6" s="49">
        <f>+'NBV By Fuel Type'!E9</f>
        <v>190719936.49634984</v>
      </c>
      <c r="E6" s="49">
        <f>-'NBV By Fuel Type'!G9</f>
        <v>-18857094.010000002</v>
      </c>
      <c r="F6" s="49">
        <f>-'NBV By Fuel Type'!I9</f>
        <v>-31838165.079999998</v>
      </c>
      <c r="G6" s="49">
        <f t="shared" ref="G6:G9" si="2">SUM(D6:F6)</f>
        <v>140024677.40634984</v>
      </c>
      <c r="H6" s="49">
        <f t="shared" ref="H6:H9" si="3">+G6</f>
        <v>140024677.40634984</v>
      </c>
      <c r="I6" s="1">
        <f>SUMIF('Rate of Return'!$A$2:$A$2,'By Plant Workpaper'!A6,'Rate of Return'!$B$2:$B$2)</f>
        <v>6.1199999999999997E-2</v>
      </c>
      <c r="J6" s="49">
        <f t="shared" si="1"/>
        <v>8569510.2572686095</v>
      </c>
      <c r="K6" s="49">
        <f>+'NBV By Fuel Type'!K9</f>
        <v>43373104.560000002</v>
      </c>
      <c r="L6" s="49">
        <f>SUM(J6:K6)</f>
        <v>51942614.81726861</v>
      </c>
    </row>
    <row r="7" spans="1:12">
      <c r="A7" t="s">
        <v>20</v>
      </c>
      <c r="B7" t="s">
        <v>22</v>
      </c>
      <c r="C7" t="s">
        <v>63</v>
      </c>
      <c r="D7" s="49">
        <f>+'NBV By Fuel Type'!E14</f>
        <v>2280458970.6499991</v>
      </c>
      <c r="E7" s="49">
        <f>-'NBV By Fuel Type'!G14</f>
        <v>72008229.610000014</v>
      </c>
      <c r="F7" s="49">
        <f>-'NBV By Fuel Type'!I14</f>
        <v>0</v>
      </c>
      <c r="G7" s="49">
        <f t="shared" si="2"/>
        <v>2352467200.2599993</v>
      </c>
      <c r="H7" s="49">
        <f t="shared" si="3"/>
        <v>2352467200.2599993</v>
      </c>
      <c r="I7" s="1">
        <f>SUMIF('Rate of Return'!$A$2:$A$2,'By Plant Workpaper'!A7,'Rate of Return'!$B$2:$B$2)</f>
        <v>6.1199999999999997E-2</v>
      </c>
      <c r="J7" s="49">
        <f t="shared" ref="J7:J9" si="4">+H7*I7</f>
        <v>143970992.65591195</v>
      </c>
      <c r="K7" s="49">
        <f>+'NBV By Fuel Type'!K14</f>
        <v>184877264.28</v>
      </c>
      <c r="L7" s="49">
        <f>SUM(J7:K7)</f>
        <v>328848256.93591195</v>
      </c>
    </row>
    <row r="8" spans="1:12">
      <c r="A8" t="s">
        <v>20</v>
      </c>
      <c r="B8" t="s">
        <v>23</v>
      </c>
      <c r="C8" s="4" t="s">
        <v>72</v>
      </c>
      <c r="D8" s="49">
        <f>+'NBV By Fuel Type'!E22</f>
        <v>42305057.516199999</v>
      </c>
      <c r="E8" s="49">
        <f>-'NBV By Fuel Type'!G22</f>
        <v>-3775001.7600000007</v>
      </c>
      <c r="F8" s="49">
        <f>-'NBV By Fuel Type'!I22</f>
        <v>-520585.35</v>
      </c>
      <c r="G8" s="49">
        <f t="shared" si="2"/>
        <v>38009470.406199999</v>
      </c>
      <c r="H8" s="49">
        <f t="shared" si="3"/>
        <v>38009470.406199999</v>
      </c>
      <c r="I8" s="1">
        <f>SUMIF('Rate of Return'!$A$2:$A$2,'By Plant Workpaper'!A8,'Rate of Return'!$B$2:$B$2)</f>
        <v>6.1199999999999997E-2</v>
      </c>
      <c r="J8" s="49">
        <f t="shared" si="4"/>
        <v>2326179.5888594398</v>
      </c>
      <c r="K8" s="49">
        <f>+'NBV By Fuel Type'!K22</f>
        <v>2227946.52</v>
      </c>
      <c r="L8" s="49">
        <f>SUM(J8:K8)</f>
        <v>4554126.1088594403</v>
      </c>
    </row>
    <row r="9" spans="1:12">
      <c r="A9" t="s">
        <v>20</v>
      </c>
      <c r="B9" t="s">
        <v>24</v>
      </c>
      <c r="C9" s="4" t="s">
        <v>73</v>
      </c>
      <c r="D9" s="49">
        <f>+'NBV By Fuel Type'!E23</f>
        <v>59037574.659999996</v>
      </c>
      <c r="E9" s="49">
        <f>-'NBV By Fuel Type'!G23</f>
        <v>-410478.87000000005</v>
      </c>
      <c r="F9" s="49">
        <f>-'NBV By Fuel Type'!I23</f>
        <v>0</v>
      </c>
      <c r="G9" s="49">
        <f t="shared" si="2"/>
        <v>58627095.789999999</v>
      </c>
      <c r="H9" s="49">
        <f t="shared" si="3"/>
        <v>58627095.789999999</v>
      </c>
      <c r="I9" s="1">
        <f>SUMIF('Rate of Return'!$A$2:$A$2,'By Plant Workpaper'!A9,'Rate of Return'!$B$2:$B$2)</f>
        <v>6.1199999999999997E-2</v>
      </c>
      <c r="J9" s="49">
        <f t="shared" si="4"/>
        <v>3587978.262348</v>
      </c>
      <c r="K9" s="49">
        <f>+'NBV By Fuel Type'!K23</f>
        <v>3123236.6399999997</v>
      </c>
      <c r="L9" s="49">
        <f>SUM(J9:K9)</f>
        <v>6711214.9023479996</v>
      </c>
    </row>
    <row r="10" spans="1:12">
      <c r="D10" s="49">
        <f>SUM(D5:D9)</f>
        <v>2926340582.2502489</v>
      </c>
    </row>
  </sheetData>
  <pageMargins left="0.7" right="0.7" top="0.75" bottom="0.75" header="0.3" footer="0.3"/>
  <pageSetup scale="59" orientation="portrait" r:id="rId1"/>
  <headerFooter>
    <oddHeader xml:space="preserve">&amp;RIndiana Michigan Power Company
WP AJW-3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4634D-080B-4ECD-8F92-3761BC354774}">
  <sheetPr>
    <pageSetUpPr autoPageBreaks="0" fitToPage="1"/>
  </sheetPr>
  <dimension ref="A1:V101"/>
  <sheetViews>
    <sheetView view="pageLayout" zoomScale="80" zoomScaleNormal="115" zoomScalePageLayoutView="80" workbookViewId="0">
      <selection activeCell="B11" sqref="B11"/>
    </sheetView>
  </sheetViews>
  <sheetFormatPr defaultRowHeight="14.5"/>
  <cols>
    <col min="2" max="2" width="45.54296875" customWidth="1"/>
    <col min="3" max="3" width="40" bestFit="1" customWidth="1"/>
    <col min="4" max="5" width="11.1796875" bestFit="1" customWidth="1"/>
    <col min="6" max="6" width="12.26953125" bestFit="1" customWidth="1"/>
    <col min="7" max="7" width="11.1796875" bestFit="1" customWidth="1"/>
    <col min="8" max="8" width="6.453125" bestFit="1" customWidth="1"/>
    <col min="9" max="9" width="11.54296875" bestFit="1" customWidth="1"/>
    <col min="10" max="11" width="11.1796875" bestFit="1" customWidth="1"/>
    <col min="12" max="12" width="6.453125" bestFit="1" customWidth="1"/>
    <col min="13" max="13" width="11.1796875" bestFit="1" customWidth="1"/>
    <col min="14" max="14" width="9.7265625" bestFit="1" customWidth="1"/>
    <col min="15" max="15" width="14.453125" bestFit="1" customWidth="1"/>
    <col min="16" max="16" width="11.1796875" bestFit="1" customWidth="1"/>
    <col min="17" max="17" width="10.1796875" bestFit="1" customWidth="1"/>
    <col min="18" max="18" width="9.7265625" bestFit="1" customWidth="1"/>
    <col min="19" max="19" width="10.7265625" bestFit="1" customWidth="1"/>
    <col min="20" max="20" width="3.54296875" customWidth="1"/>
    <col min="21" max="21" width="10.1796875" bestFit="1" customWidth="1"/>
    <col min="22" max="22" width="9.7265625" bestFit="1" customWidth="1"/>
    <col min="23" max="23" width="10.1796875" bestFit="1" customWidth="1"/>
    <col min="25" max="25" width="13.453125" bestFit="1" customWidth="1"/>
    <col min="26" max="26" width="10.7265625" bestFit="1" customWidth="1"/>
    <col min="27" max="27" width="9.7265625" bestFit="1" customWidth="1"/>
  </cols>
  <sheetData>
    <row r="1" spans="2:3">
      <c r="B1" t="s">
        <v>74</v>
      </c>
    </row>
    <row r="2" spans="2:3">
      <c r="B2" t="s">
        <v>75</v>
      </c>
    </row>
    <row r="4" spans="2:3" ht="15" thickBot="1"/>
    <row r="5" spans="2:3">
      <c r="B5" s="53"/>
      <c r="C5" s="54" t="s">
        <v>20</v>
      </c>
    </row>
    <row r="6" spans="2:3">
      <c r="B6" s="55" t="s">
        <v>21</v>
      </c>
      <c r="C6" s="56"/>
    </row>
    <row r="7" spans="2:3">
      <c r="B7" s="57" t="s">
        <v>76</v>
      </c>
      <c r="C7" s="58">
        <f>AVERAGE(C87,G87,K87)</f>
        <v>41620139.666666664</v>
      </c>
    </row>
    <row r="8" spans="2:3">
      <c r="B8" s="57" t="s">
        <v>77</v>
      </c>
      <c r="C8" s="58">
        <f>O88</f>
        <v>7476565.666666667</v>
      </c>
    </row>
    <row r="9" spans="2:3">
      <c r="B9" s="57" t="s">
        <v>78</v>
      </c>
      <c r="C9" s="58">
        <f>AVERAGE(C92,G92,K92)</f>
        <v>1039091.3333333334</v>
      </c>
    </row>
    <row r="10" spans="2:3">
      <c r="B10" s="57" t="s">
        <v>79</v>
      </c>
      <c r="C10" s="58">
        <v>68748134.333333328</v>
      </c>
    </row>
    <row r="11" spans="2:3">
      <c r="B11" s="57"/>
      <c r="C11" s="58"/>
    </row>
    <row r="12" spans="2:3" ht="15" thickBot="1">
      <c r="B12" s="59" t="s">
        <v>80</v>
      </c>
      <c r="C12" s="60">
        <v>2248741500</v>
      </c>
    </row>
    <row r="13" spans="2:3">
      <c r="B13" s="61"/>
      <c r="C13" s="61"/>
    </row>
    <row r="14" spans="2:3">
      <c r="B14" s="55" t="s">
        <v>81</v>
      </c>
      <c r="C14" s="56"/>
    </row>
    <row r="15" spans="2:3">
      <c r="B15" s="57" t="s">
        <v>76</v>
      </c>
      <c r="C15" s="58">
        <v>0</v>
      </c>
    </row>
    <row r="16" spans="2:3">
      <c r="B16" s="57" t="s">
        <v>77</v>
      </c>
      <c r="C16" s="58">
        <v>0</v>
      </c>
    </row>
    <row r="17" spans="2:22">
      <c r="B17" s="57" t="s">
        <v>78</v>
      </c>
      <c r="C17" s="58">
        <v>0</v>
      </c>
    </row>
    <row r="18" spans="2:22">
      <c r="B18" s="57" t="s">
        <v>79</v>
      </c>
      <c r="C18" s="58">
        <v>0</v>
      </c>
    </row>
    <row r="19" spans="2:22">
      <c r="B19" s="57"/>
      <c r="C19" s="58"/>
    </row>
    <row r="20" spans="2:22">
      <c r="B20" s="57" t="s">
        <v>80</v>
      </c>
      <c r="C20" s="62">
        <v>0</v>
      </c>
    </row>
    <row r="21" spans="2:22">
      <c r="B21" s="63"/>
      <c r="C21" s="64" t="s">
        <v>82</v>
      </c>
    </row>
    <row r="22" spans="2:22">
      <c r="B22" s="55" t="s">
        <v>22</v>
      </c>
      <c r="C22" s="65" t="s">
        <v>82</v>
      </c>
      <c r="V22" s="52"/>
    </row>
    <row r="23" spans="2:22">
      <c r="B23" s="57" t="s">
        <v>76</v>
      </c>
      <c r="C23" s="58">
        <v>91170840.333333328</v>
      </c>
    </row>
    <row r="24" spans="2:22">
      <c r="B24" s="57" t="s">
        <v>77</v>
      </c>
      <c r="C24" s="58">
        <v>18783417.666666668</v>
      </c>
    </row>
    <row r="25" spans="2:22">
      <c r="B25" s="57" t="s">
        <v>78</v>
      </c>
      <c r="C25" s="58">
        <v>0</v>
      </c>
    </row>
    <row r="26" spans="2:22">
      <c r="B26" s="57" t="s">
        <v>79</v>
      </c>
      <c r="C26" s="58">
        <v>223154491</v>
      </c>
    </row>
    <row r="27" spans="2:22">
      <c r="B27" s="57"/>
      <c r="C27" s="58"/>
    </row>
    <row r="28" spans="2:22">
      <c r="B28" s="57" t="s">
        <v>80</v>
      </c>
      <c r="C28" s="62">
        <v>17740669000</v>
      </c>
    </row>
    <row r="29" spans="2:22">
      <c r="B29" s="63"/>
      <c r="C29" s="64" t="s">
        <v>82</v>
      </c>
    </row>
    <row r="30" spans="2:22">
      <c r="B30" s="55" t="s">
        <v>23</v>
      </c>
      <c r="C30" s="65" t="s">
        <v>82</v>
      </c>
    </row>
    <row r="31" spans="2:22">
      <c r="B31" s="57" t="s">
        <v>76</v>
      </c>
      <c r="C31" s="58">
        <v>0</v>
      </c>
    </row>
    <row r="32" spans="2:22">
      <c r="B32" s="57" t="s">
        <v>77</v>
      </c>
      <c r="C32" s="58">
        <v>0</v>
      </c>
    </row>
    <row r="33" spans="1:3">
      <c r="B33" s="57" t="s">
        <v>78</v>
      </c>
      <c r="C33" s="58">
        <v>0</v>
      </c>
    </row>
    <row r="34" spans="1:3">
      <c r="B34" s="57" t="s">
        <v>79</v>
      </c>
      <c r="C34" s="58">
        <v>3235149.6666666665</v>
      </c>
    </row>
    <row r="35" spans="1:3">
      <c r="B35" s="57"/>
      <c r="C35" s="58"/>
    </row>
    <row r="36" spans="1:3">
      <c r="B36" s="57" t="s">
        <v>80</v>
      </c>
      <c r="C36" s="62">
        <v>87429.666666666672</v>
      </c>
    </row>
    <row r="37" spans="1:3">
      <c r="B37" s="63"/>
      <c r="C37" s="64" t="s">
        <v>82</v>
      </c>
    </row>
    <row r="38" spans="1:3">
      <c r="B38" s="55" t="s">
        <v>83</v>
      </c>
      <c r="C38" s="65" t="s">
        <v>82</v>
      </c>
    </row>
    <row r="39" spans="1:3">
      <c r="B39" s="57" t="s">
        <v>76</v>
      </c>
      <c r="C39" s="58">
        <v>0</v>
      </c>
    </row>
    <row r="40" spans="1:3">
      <c r="B40" s="57" t="s">
        <v>77</v>
      </c>
      <c r="C40" s="58">
        <v>0</v>
      </c>
    </row>
    <row r="41" spans="1:3">
      <c r="B41" s="57" t="s">
        <v>78</v>
      </c>
      <c r="C41" s="58">
        <v>0</v>
      </c>
    </row>
    <row r="42" spans="1:3">
      <c r="B42" s="57" t="s">
        <v>79</v>
      </c>
      <c r="C42" s="58">
        <v>1453169.3333333333</v>
      </c>
    </row>
    <row r="43" spans="1:3">
      <c r="B43" s="57"/>
      <c r="C43" s="58"/>
    </row>
    <row r="44" spans="1:3" ht="15" thickBot="1">
      <c r="B44" s="59" t="s">
        <v>80</v>
      </c>
      <c r="C44" s="60">
        <v>50605</v>
      </c>
    </row>
    <row r="46" spans="1:3">
      <c r="A46" t="s">
        <v>84</v>
      </c>
    </row>
    <row r="50" spans="2:6">
      <c r="C50" s="134" t="s">
        <v>85</v>
      </c>
      <c r="D50" s="134"/>
      <c r="E50" s="134"/>
    </row>
    <row r="51" spans="2:6">
      <c r="C51" s="81">
        <v>2023</v>
      </c>
      <c r="D51" s="81">
        <v>2022</v>
      </c>
      <c r="E51" s="81">
        <v>2021</v>
      </c>
      <c r="F51" s="81" t="s">
        <v>86</v>
      </c>
    </row>
    <row r="53" spans="2:6">
      <c r="B53" t="s">
        <v>57</v>
      </c>
      <c r="C53" s="49">
        <v>635023</v>
      </c>
      <c r="D53" s="49">
        <v>806470</v>
      </c>
      <c r="E53" s="49">
        <v>453095</v>
      </c>
      <c r="F53" s="49">
        <f>AVERAGE(C53:E53)</f>
        <v>631529.33333333337</v>
      </c>
    </row>
    <row r="54" spans="2:6">
      <c r="B54" t="s">
        <v>58</v>
      </c>
      <c r="C54" s="49">
        <v>438941</v>
      </c>
      <c r="D54" s="49">
        <v>442036</v>
      </c>
      <c r="E54" s="49">
        <v>364629</v>
      </c>
      <c r="F54" s="49">
        <f t="shared" ref="F54:F59" si="0">AVERAGE(C54:E54)</f>
        <v>415202</v>
      </c>
    </row>
    <row r="55" spans="2:6">
      <c r="B55" t="s">
        <v>59</v>
      </c>
      <c r="C55" s="49">
        <v>251343</v>
      </c>
      <c r="D55" s="49">
        <v>182687</v>
      </c>
      <c r="E55" s="49">
        <v>233721</v>
      </c>
      <c r="F55" s="49">
        <f t="shared" si="0"/>
        <v>222583.66666666666</v>
      </c>
    </row>
    <row r="56" spans="2:6">
      <c r="B56" t="s">
        <v>60</v>
      </c>
      <c r="C56" s="49">
        <v>704752</v>
      </c>
      <c r="D56" s="49">
        <v>572699</v>
      </c>
      <c r="E56" s="49">
        <v>397012</v>
      </c>
      <c r="F56" s="49">
        <f t="shared" si="0"/>
        <v>558154.33333333337</v>
      </c>
    </row>
    <row r="57" spans="2:6">
      <c r="B57" t="s">
        <v>61</v>
      </c>
      <c r="C57" s="49">
        <v>368237</v>
      </c>
      <c r="D57" s="49">
        <v>558799</v>
      </c>
      <c r="E57" s="49">
        <v>635094</v>
      </c>
      <c r="F57" s="49">
        <f t="shared" si="0"/>
        <v>520710</v>
      </c>
    </row>
    <row r="58" spans="2:6">
      <c r="B58" t="s">
        <v>62</v>
      </c>
      <c r="C58" s="49">
        <v>717322</v>
      </c>
      <c r="D58" s="49">
        <v>1108540</v>
      </c>
      <c r="E58" s="49">
        <v>830309</v>
      </c>
      <c r="F58" s="49">
        <f t="shared" si="0"/>
        <v>885390.33333333337</v>
      </c>
    </row>
    <row r="59" spans="2:6">
      <c r="C59" s="49">
        <f>SUM(C53:C58)</f>
        <v>3115618</v>
      </c>
      <c r="D59" s="49">
        <f>SUM(D53:D58)</f>
        <v>3671231</v>
      </c>
      <c r="E59" s="49">
        <f>SUM(E53:E58)</f>
        <v>2913860</v>
      </c>
      <c r="F59" s="49">
        <f t="shared" si="0"/>
        <v>3233569.6666666665</v>
      </c>
    </row>
    <row r="61" spans="2:6">
      <c r="E61" t="s">
        <v>87</v>
      </c>
      <c r="F61" s="66">
        <f>+'O&amp;M'!C34</f>
        <v>3235149.6666666665</v>
      </c>
    </row>
    <row r="62" spans="2:6">
      <c r="E62" t="s">
        <v>88</v>
      </c>
      <c r="F62" s="66">
        <f>+F59-F61</f>
        <v>-1580</v>
      </c>
    </row>
    <row r="67" spans="2:8">
      <c r="C67" t="s">
        <v>89</v>
      </c>
    </row>
    <row r="68" spans="2:8">
      <c r="D68" s="81">
        <v>2021</v>
      </c>
      <c r="E68" s="81">
        <v>2022</v>
      </c>
      <c r="F68" s="81">
        <v>2023</v>
      </c>
      <c r="G68" s="81" t="s">
        <v>90</v>
      </c>
    </row>
    <row r="69" spans="2:8">
      <c r="B69" t="s">
        <v>91</v>
      </c>
      <c r="C69" t="s">
        <v>64</v>
      </c>
      <c r="D69" s="49">
        <v>56617</v>
      </c>
      <c r="E69" s="49">
        <v>57051</v>
      </c>
      <c r="F69" s="49">
        <v>44531</v>
      </c>
      <c r="G69" s="49">
        <f>AVERAGE(D69:F69)</f>
        <v>52733</v>
      </c>
    </row>
    <row r="70" spans="2:8">
      <c r="C70" t="s">
        <v>65</v>
      </c>
      <c r="D70" s="49">
        <v>192530</v>
      </c>
      <c r="E70" s="49">
        <v>83453</v>
      </c>
      <c r="F70" s="49">
        <v>92063</v>
      </c>
      <c r="G70" s="49">
        <f>AVERAGE(D70:F70)</f>
        <v>122682</v>
      </c>
    </row>
    <row r="71" spans="2:8">
      <c r="C71" t="s">
        <v>67</v>
      </c>
      <c r="D71" s="49">
        <v>266237</v>
      </c>
      <c r="E71" s="49">
        <v>681728</v>
      </c>
      <c r="F71" s="49">
        <v>96542</v>
      </c>
      <c r="G71" s="49"/>
    </row>
    <row r="72" spans="2:8">
      <c r="C72" t="s">
        <v>62</v>
      </c>
      <c r="D72" s="49">
        <v>340412</v>
      </c>
      <c r="E72" s="49">
        <v>-217638</v>
      </c>
      <c r="F72" s="49">
        <v>19381</v>
      </c>
      <c r="G72" s="49">
        <f>AVERAGE(D72:F72)</f>
        <v>47385</v>
      </c>
    </row>
    <row r="73" spans="2:8">
      <c r="C73" t="s">
        <v>66</v>
      </c>
      <c r="D73" s="49">
        <v>94767</v>
      </c>
      <c r="E73" s="49">
        <v>101213</v>
      </c>
      <c r="F73" s="49">
        <v>26417</v>
      </c>
      <c r="G73" s="49">
        <f>AVERAGE(D73:F73)</f>
        <v>74132.333333333328</v>
      </c>
    </row>
    <row r="74" spans="2:8">
      <c r="C74" s="86" t="s">
        <v>92</v>
      </c>
      <c r="D74" s="49">
        <f>SUM(D69:D73)</f>
        <v>950563</v>
      </c>
      <c r="E74" s="49">
        <f>SUM(E69:E73)</f>
        <v>705807</v>
      </c>
      <c r="F74" s="49">
        <f>SUM(F69:F73)</f>
        <v>278934</v>
      </c>
      <c r="G74" s="49">
        <f>AVERAGE(D74:F74)</f>
        <v>645101.33333333337</v>
      </c>
    </row>
    <row r="77" spans="2:8">
      <c r="B77" t="s">
        <v>93</v>
      </c>
      <c r="C77" t="s">
        <v>64</v>
      </c>
      <c r="D77" s="87">
        <v>3497</v>
      </c>
      <c r="E77" s="87">
        <v>3064</v>
      </c>
      <c r="F77" s="87">
        <v>3268</v>
      </c>
      <c r="G77" s="85">
        <f t="shared" ref="G77:G82" si="1">AVERAGE(D77:F77)</f>
        <v>3276.3333333333335</v>
      </c>
    </row>
    <row r="78" spans="2:8">
      <c r="C78" t="s">
        <v>65</v>
      </c>
      <c r="D78" s="87">
        <v>8267</v>
      </c>
      <c r="E78" s="87">
        <v>7276</v>
      </c>
      <c r="F78" s="87">
        <v>8021</v>
      </c>
      <c r="G78" s="85">
        <f t="shared" si="1"/>
        <v>7854.666666666667</v>
      </c>
    </row>
    <row r="79" spans="2:8">
      <c r="C79" t="s">
        <v>67</v>
      </c>
      <c r="D79" s="87">
        <v>27221</v>
      </c>
      <c r="E79" s="87">
        <v>24276</v>
      </c>
      <c r="F79" s="87">
        <v>32397</v>
      </c>
      <c r="G79" s="85">
        <f t="shared" si="1"/>
        <v>27964.666666666668</v>
      </c>
      <c r="H79" s="87"/>
    </row>
    <row r="80" spans="2:8">
      <c r="C80" t="s">
        <v>62</v>
      </c>
      <c r="D80" s="87">
        <v>3963</v>
      </c>
      <c r="E80" s="87">
        <v>3638</v>
      </c>
      <c r="F80" s="87">
        <v>3832</v>
      </c>
      <c r="G80" s="85">
        <f t="shared" si="1"/>
        <v>3811</v>
      </c>
    </row>
    <row r="81" spans="2:16">
      <c r="C81" t="s">
        <v>66</v>
      </c>
      <c r="D81" s="87">
        <v>5617</v>
      </c>
      <c r="E81" s="87">
        <v>5025</v>
      </c>
      <c r="F81" s="87">
        <v>6562</v>
      </c>
      <c r="G81" s="85">
        <f t="shared" si="1"/>
        <v>5734.666666666667</v>
      </c>
    </row>
    <row r="82" spans="2:16">
      <c r="D82" s="87">
        <f>SUM(D77:D81)</f>
        <v>48565</v>
      </c>
      <c r="E82" s="87">
        <f>SUM(E77:E81)</f>
        <v>43279</v>
      </c>
      <c r="F82" s="87">
        <f>SUM(F77:F81)</f>
        <v>54080</v>
      </c>
      <c r="G82" s="85">
        <f t="shared" si="1"/>
        <v>48641.333333333336</v>
      </c>
    </row>
    <row r="83" spans="2:16">
      <c r="B83" s="89" t="s">
        <v>94</v>
      </c>
      <c r="O83" s="129" t="s">
        <v>29</v>
      </c>
      <c r="P83" s="129"/>
    </row>
    <row r="84" spans="2:16">
      <c r="C84" s="129">
        <v>2023</v>
      </c>
      <c r="D84" s="129"/>
      <c r="E84" s="129"/>
      <c r="G84" s="129">
        <v>2022</v>
      </c>
      <c r="H84" s="129"/>
      <c r="I84" s="129"/>
      <c r="K84" s="129">
        <v>2021</v>
      </c>
      <c r="L84" s="129"/>
      <c r="M84" s="129"/>
      <c r="O84" t="s">
        <v>95</v>
      </c>
      <c r="P84" t="s">
        <v>96</v>
      </c>
    </row>
    <row r="85" spans="2:16">
      <c r="C85" s="2" t="s">
        <v>97</v>
      </c>
      <c r="D85" s="2" t="s">
        <v>98</v>
      </c>
      <c r="E85" s="2" t="s">
        <v>92</v>
      </c>
      <c r="G85" s="2" t="s">
        <v>97</v>
      </c>
      <c r="H85" s="2" t="s">
        <v>98</v>
      </c>
      <c r="I85" s="2" t="s">
        <v>92</v>
      </c>
      <c r="K85" s="2" t="s">
        <v>97</v>
      </c>
      <c r="L85" s="2" t="s">
        <v>98</v>
      </c>
      <c r="M85" s="2" t="s">
        <v>92</v>
      </c>
    </row>
    <row r="86" spans="2:16">
      <c r="B86" t="s">
        <v>99</v>
      </c>
      <c r="C86" s="52">
        <v>2680530</v>
      </c>
      <c r="D86" s="52"/>
      <c r="E86" s="52">
        <f t="shared" ref="E86:E97" si="2">+C86+D86</f>
        <v>2680530</v>
      </c>
      <c r="G86" s="52">
        <v>2128705</v>
      </c>
      <c r="H86" s="52"/>
      <c r="I86" s="52">
        <f t="shared" ref="I86:I97" si="3">+G86+H86</f>
        <v>2128705</v>
      </c>
      <c r="K86" s="52">
        <v>2042236</v>
      </c>
      <c r="L86" s="52"/>
      <c r="M86" s="52">
        <f t="shared" ref="M86:M97" si="4">+K86+L86</f>
        <v>2042236</v>
      </c>
      <c r="O86" s="52">
        <f>AVERAGE(M86,I86,E86)</f>
        <v>2283823.6666666665</v>
      </c>
      <c r="P86" s="52">
        <f>AVERAGE(M86,I86,E86)</f>
        <v>2283823.6666666665</v>
      </c>
    </row>
    <row r="87" spans="2:16">
      <c r="B87" t="s">
        <v>76</v>
      </c>
      <c r="C87" s="52">
        <v>28393142</v>
      </c>
      <c r="D87" s="52"/>
      <c r="E87" s="52">
        <f t="shared" si="2"/>
        <v>28393142</v>
      </c>
      <c r="G87" s="52">
        <v>51738636</v>
      </c>
      <c r="H87" s="52"/>
      <c r="I87" s="52">
        <f t="shared" si="3"/>
        <v>51738636</v>
      </c>
      <c r="K87" s="52">
        <v>44728641</v>
      </c>
      <c r="L87" s="52"/>
      <c r="M87" s="52">
        <f t="shared" si="4"/>
        <v>44728641</v>
      </c>
      <c r="O87" s="52">
        <f t="shared" ref="O87:O96" si="5">AVERAGE(M87,I87,E87)</f>
        <v>41620139.666666664</v>
      </c>
      <c r="P87" s="52">
        <f t="shared" ref="P87:P96" si="6">AVERAGE(M87,I87,E87)</f>
        <v>41620139.666666664</v>
      </c>
    </row>
    <row r="88" spans="2:16">
      <c r="B88" t="s">
        <v>100</v>
      </c>
      <c r="C88" s="52">
        <v>5472905</v>
      </c>
      <c r="D88" s="52"/>
      <c r="E88" s="52">
        <f t="shared" si="2"/>
        <v>5472905</v>
      </c>
      <c r="G88" s="52">
        <v>9899307</v>
      </c>
      <c r="H88" s="52"/>
      <c r="I88" s="52">
        <f t="shared" si="3"/>
        <v>9899307</v>
      </c>
      <c r="K88" s="52">
        <v>7057485</v>
      </c>
      <c r="L88" s="52"/>
      <c r="M88" s="52">
        <f t="shared" si="4"/>
        <v>7057485</v>
      </c>
      <c r="O88" s="52">
        <f t="shared" si="5"/>
        <v>7476565.666666667</v>
      </c>
      <c r="P88" s="52">
        <f t="shared" si="6"/>
        <v>7476565.666666667</v>
      </c>
    </row>
    <row r="89" spans="2:16">
      <c r="B89" t="s">
        <v>101</v>
      </c>
      <c r="C89" s="52">
        <v>958664</v>
      </c>
      <c r="D89" s="52"/>
      <c r="E89" s="52">
        <f t="shared" si="2"/>
        <v>958664</v>
      </c>
      <c r="G89" s="52">
        <v>894312</v>
      </c>
      <c r="H89" s="52"/>
      <c r="I89" s="52">
        <f t="shared" si="3"/>
        <v>894312</v>
      </c>
      <c r="K89" s="52">
        <v>731118</v>
      </c>
      <c r="L89" s="52"/>
      <c r="M89" s="52">
        <f t="shared" si="4"/>
        <v>731118</v>
      </c>
      <c r="O89" s="52">
        <f t="shared" si="5"/>
        <v>861364.66666666663</v>
      </c>
      <c r="P89" s="52">
        <f t="shared" si="6"/>
        <v>861364.66666666663</v>
      </c>
    </row>
    <row r="90" spans="2:16">
      <c r="B90" t="s">
        <v>102</v>
      </c>
      <c r="C90" s="52">
        <v>1616759</v>
      </c>
      <c r="D90" s="52"/>
      <c r="E90" s="52">
        <f t="shared" si="2"/>
        <v>1616759</v>
      </c>
      <c r="G90" s="52">
        <v>1225017</v>
      </c>
      <c r="H90" s="52"/>
      <c r="I90" s="52">
        <f t="shared" si="3"/>
        <v>1225017</v>
      </c>
      <c r="K90" s="52">
        <v>2109490</v>
      </c>
      <c r="L90" s="52"/>
      <c r="M90" s="52">
        <f t="shared" si="4"/>
        <v>2109490</v>
      </c>
      <c r="O90" s="52">
        <f t="shared" si="5"/>
        <v>1650422</v>
      </c>
      <c r="P90" s="52">
        <f t="shared" si="6"/>
        <v>1650422</v>
      </c>
    </row>
    <row r="91" spans="2:16">
      <c r="B91" t="s">
        <v>103</v>
      </c>
      <c r="C91" s="52">
        <v>14884</v>
      </c>
      <c r="D91" s="52"/>
      <c r="E91" s="52">
        <f t="shared" si="2"/>
        <v>14884</v>
      </c>
      <c r="G91" s="52">
        <v>0</v>
      </c>
      <c r="H91" s="52"/>
      <c r="I91" s="52">
        <f t="shared" si="3"/>
        <v>0</v>
      </c>
      <c r="K91" s="52">
        <v>0</v>
      </c>
      <c r="L91" s="52"/>
      <c r="M91" s="52">
        <f t="shared" si="4"/>
        <v>0</v>
      </c>
      <c r="O91" s="52">
        <f t="shared" si="5"/>
        <v>4961.333333333333</v>
      </c>
      <c r="P91" s="52">
        <f>+E91</f>
        <v>14884</v>
      </c>
    </row>
    <row r="92" spans="2:16">
      <c r="B92" t="s">
        <v>78</v>
      </c>
      <c r="C92" s="52">
        <v>2952358</v>
      </c>
      <c r="D92" s="52"/>
      <c r="E92" s="52">
        <f t="shared" si="2"/>
        <v>2952358</v>
      </c>
      <c r="G92" s="52">
        <v>84083</v>
      </c>
      <c r="H92" s="52"/>
      <c r="I92" s="52">
        <f t="shared" si="3"/>
        <v>84083</v>
      </c>
      <c r="K92" s="52">
        <v>80833</v>
      </c>
      <c r="L92" s="52"/>
      <c r="M92" s="52">
        <f t="shared" si="4"/>
        <v>80833</v>
      </c>
      <c r="O92" s="52">
        <f t="shared" si="5"/>
        <v>1039091.3333333334</v>
      </c>
      <c r="P92" s="52">
        <f t="shared" si="6"/>
        <v>1039091.3333333334</v>
      </c>
    </row>
    <row r="93" spans="2:16">
      <c r="B93" t="s">
        <v>104</v>
      </c>
      <c r="C93" s="52">
        <v>854365</v>
      </c>
      <c r="D93" s="52"/>
      <c r="E93" s="52">
        <f t="shared" si="2"/>
        <v>854365</v>
      </c>
      <c r="G93" s="52">
        <v>929203</v>
      </c>
      <c r="H93" s="52"/>
      <c r="I93" s="52">
        <f t="shared" si="3"/>
        <v>929203</v>
      </c>
      <c r="K93" s="52">
        <v>1147429</v>
      </c>
      <c r="L93" s="52"/>
      <c r="M93" s="52">
        <f t="shared" si="4"/>
        <v>1147429</v>
      </c>
      <c r="O93" s="52">
        <f t="shared" si="5"/>
        <v>976999</v>
      </c>
      <c r="P93" s="52">
        <f t="shared" si="6"/>
        <v>976999</v>
      </c>
    </row>
    <row r="94" spans="2:16">
      <c r="B94" t="s">
        <v>105</v>
      </c>
      <c r="C94" s="52">
        <v>493190</v>
      </c>
      <c r="D94" s="52"/>
      <c r="E94" s="52">
        <f t="shared" si="2"/>
        <v>493190</v>
      </c>
      <c r="G94" s="52">
        <v>583530</v>
      </c>
      <c r="H94" s="52"/>
      <c r="I94" s="52">
        <f t="shared" si="3"/>
        <v>583530</v>
      </c>
      <c r="K94" s="52">
        <v>537196</v>
      </c>
      <c r="L94" s="52"/>
      <c r="M94" s="52">
        <f t="shared" si="4"/>
        <v>537196</v>
      </c>
      <c r="O94" s="52">
        <f t="shared" si="5"/>
        <v>537972</v>
      </c>
      <c r="P94" s="52">
        <f t="shared" si="6"/>
        <v>537972</v>
      </c>
    </row>
    <row r="95" spans="2:16">
      <c r="B95" t="s">
        <v>106</v>
      </c>
      <c r="C95" s="52">
        <v>3594851</v>
      </c>
      <c r="D95" s="52"/>
      <c r="E95" s="52">
        <f t="shared" si="2"/>
        <v>3594851</v>
      </c>
      <c r="G95" s="52">
        <v>2669483</v>
      </c>
      <c r="H95" s="52"/>
      <c r="I95" s="52">
        <f t="shared" si="3"/>
        <v>2669483</v>
      </c>
      <c r="K95" s="52">
        <v>5920370</v>
      </c>
      <c r="L95" s="52"/>
      <c r="M95" s="52">
        <f t="shared" si="4"/>
        <v>5920370</v>
      </c>
      <c r="O95" s="52">
        <f t="shared" si="5"/>
        <v>4061568</v>
      </c>
      <c r="P95" s="52">
        <f t="shared" si="6"/>
        <v>4061568</v>
      </c>
    </row>
    <row r="96" spans="2:16">
      <c r="B96" t="s">
        <v>107</v>
      </c>
      <c r="C96" s="52">
        <v>1970081</v>
      </c>
      <c r="D96" s="52"/>
      <c r="E96" s="52">
        <f t="shared" si="2"/>
        <v>1970081</v>
      </c>
      <c r="G96" s="52">
        <v>1605643</v>
      </c>
      <c r="H96" s="52"/>
      <c r="I96" s="52">
        <f t="shared" si="3"/>
        <v>1605643</v>
      </c>
      <c r="K96" s="52">
        <v>2223581</v>
      </c>
      <c r="L96" s="52"/>
      <c r="M96" s="52">
        <f t="shared" si="4"/>
        <v>2223581</v>
      </c>
      <c r="O96" s="52">
        <f t="shared" si="5"/>
        <v>1933101.6666666667</v>
      </c>
      <c r="P96" s="52">
        <f t="shared" si="6"/>
        <v>1933101.6666666667</v>
      </c>
    </row>
    <row r="97" spans="2:16">
      <c r="B97" t="s">
        <v>108</v>
      </c>
      <c r="C97" s="52">
        <v>406306</v>
      </c>
      <c r="D97" s="52"/>
      <c r="E97" s="52">
        <f t="shared" si="2"/>
        <v>406306</v>
      </c>
      <c r="G97" s="52">
        <v>531098</v>
      </c>
      <c r="H97" s="52"/>
      <c r="I97" s="52">
        <f t="shared" si="3"/>
        <v>531098</v>
      </c>
      <c r="K97" s="52">
        <v>815886</v>
      </c>
      <c r="L97" s="52"/>
      <c r="M97" s="52">
        <f t="shared" si="4"/>
        <v>815886</v>
      </c>
      <c r="O97" s="90">
        <f>AVERAGE(M97,I97,E97)</f>
        <v>584430</v>
      </c>
      <c r="P97" s="90">
        <f>AVERAGE(M97,I97,E97)</f>
        <v>584430</v>
      </c>
    </row>
    <row r="98" spans="2:16">
      <c r="O98" s="52">
        <f>SUM(O86:O97)</f>
        <v>63030438.999999993</v>
      </c>
      <c r="P98" s="52">
        <f>SUM(P86:P97)</f>
        <v>63040361.666666657</v>
      </c>
    </row>
    <row r="100" spans="2:16">
      <c r="N100" s="67" t="s">
        <v>109</v>
      </c>
      <c r="O100" s="52">
        <f>SUM(O87,O88,O92)</f>
        <v>50135796.666666664</v>
      </c>
      <c r="P100" s="52">
        <f>SUM(P87,P88,P92)</f>
        <v>50135796.666666664</v>
      </c>
    </row>
    <row r="101" spans="2:16">
      <c r="N101" s="67" t="s">
        <v>37</v>
      </c>
      <c r="O101" s="52">
        <f>SUM(O86,O89:O91,O93:O97)</f>
        <v>12894642.333333332</v>
      </c>
      <c r="P101" s="52">
        <f>SUM(P86,P89:P91,P93:P97)</f>
        <v>12904564.999999998</v>
      </c>
    </row>
  </sheetData>
  <mergeCells count="1">
    <mergeCell ref="C50:E50"/>
  </mergeCells>
  <pageMargins left="0.7" right="0.7" top="0.75" bottom="0.75" header="0.3" footer="0.3"/>
  <pageSetup scale="38" orientation="portrait" r:id="rId1"/>
  <headerFooter>
    <oddHeader xml:space="preserve">&amp;RIndiana Michigan Power Company
WP AJW-3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E0974-9BA8-4A68-896C-991CFBB61A53}">
  <sheetPr>
    <pageSetUpPr fitToPage="1"/>
  </sheetPr>
  <dimension ref="A1:I9"/>
  <sheetViews>
    <sheetView view="pageLayout" zoomScaleNormal="100" workbookViewId="0">
      <selection activeCell="B11" sqref="B11"/>
    </sheetView>
  </sheetViews>
  <sheetFormatPr defaultRowHeight="14.5"/>
  <cols>
    <col min="3" max="7" width="8.7265625" style="1"/>
  </cols>
  <sheetData>
    <row r="1" spans="1:9">
      <c r="B1" t="s">
        <v>110</v>
      </c>
    </row>
    <row r="2" spans="1:9">
      <c r="A2" t="s">
        <v>20</v>
      </c>
      <c r="B2" s="1">
        <f>SUMPRODUCT(D7:D7,I7:I7)</f>
        <v>6.1199999999999997E-2</v>
      </c>
    </row>
    <row r="5" spans="1:9">
      <c r="C5" s="135" t="s">
        <v>111</v>
      </c>
      <c r="D5" s="135"/>
      <c r="E5" s="135"/>
      <c r="F5" s="135"/>
      <c r="H5" t="s">
        <v>112</v>
      </c>
      <c r="I5" t="s">
        <v>113</v>
      </c>
    </row>
    <row r="6" spans="1:9" s="2" customFormat="1">
      <c r="C6" s="3" t="s">
        <v>114</v>
      </c>
      <c r="D6" s="3" t="s">
        <v>110</v>
      </c>
      <c r="E6" s="3" t="s">
        <v>115</v>
      </c>
      <c r="F6" s="3" t="s">
        <v>116</v>
      </c>
      <c r="G6" s="3"/>
    </row>
    <row r="7" spans="1:9">
      <c r="A7" t="s">
        <v>20</v>
      </c>
      <c r="B7" t="s">
        <v>117</v>
      </c>
      <c r="C7" s="1">
        <v>9.8500000000000004E-2</v>
      </c>
      <c r="D7" s="1">
        <v>6.1199999999999997E-2</v>
      </c>
      <c r="E7" s="1">
        <v>0.5</v>
      </c>
      <c r="F7" s="1">
        <v>0.5</v>
      </c>
      <c r="H7" s="1">
        <v>0.71390957679723677</v>
      </c>
      <c r="I7" s="1">
        <f>H7/SUM(H7:H7)</f>
        <v>1</v>
      </c>
    </row>
    <row r="8" spans="1:9">
      <c r="H8" s="1"/>
      <c r="I8" s="1"/>
    </row>
    <row r="9" spans="1:9">
      <c r="A9" t="s">
        <v>118</v>
      </c>
    </row>
  </sheetData>
  <mergeCells count="1">
    <mergeCell ref="C5:F5"/>
  </mergeCells>
  <pageMargins left="0.7" right="0.7" top="0.75" bottom="0.75" header="0.3" footer="0.3"/>
  <pageSetup orientation="portrait" r:id="rId1"/>
  <headerFooter>
    <oddHeader xml:space="preserve">&amp;RIndiana Michigan Power Company
WP AJW-3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PC9zaXNsPjxVc2VyTmFtZT5DT1JQXHMwMDUwMDY8L1VzZXJOYW1lPjxEYXRlVGltZT42LzExLzIwMjQgNjo0NDoyOCBQTTwvRGF0ZVRpbWU+PExhYmVsU3RyaW5nPkFFUCBJbnRlcm5hbD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element uid="d14f5c36-f44a-4315-b438-005cfe8f069f"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6" ma:contentTypeDescription="Create a new document." ma:contentTypeScope="" ma:versionID="74c5940f497891f254bc15682dd452d1">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fe85ad5fc585b86e243c3c53079c0e90"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db5066c-6899-482b-9ea0-5145f9da9989" xsi:nil="true"/>
    <_ip_UnifiedCompliancePolicyProperties xmlns="http://schemas.microsoft.com/sharepoint/v3" xsi:nil="true"/>
    <lcf76f155ced4ddcb4097134ff3c332f xmlns="f5536f26-5d7e-4d2b-a510-6667eeb1ad7c">
      <Terms xmlns="http://schemas.microsoft.com/office/infopath/2007/PartnerControls"/>
    </lcf76f155ced4ddcb4097134ff3c332f>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documentManagement>
</p:properties>
</file>

<file path=customXml/itemProps1.xml><?xml version="1.0" encoding="utf-8"?>
<ds:datastoreItem xmlns:ds="http://schemas.openxmlformats.org/officeDocument/2006/customXml" ds:itemID="{BF6F7E0A-43DB-4D75-90A4-ECB152C0450A}">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01AF035-76DC-469B-BF77-9E7F6ED829BF}">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B97636FD-B662-4AA9-AA75-2D0978C8A4D9}"/>
</file>

<file path=customXml/itemProps4.xml><?xml version="1.0" encoding="utf-8"?>
<ds:datastoreItem xmlns:ds="http://schemas.openxmlformats.org/officeDocument/2006/customXml" ds:itemID="{0A68D505-8DAC-4C7C-8920-331E41442F0B}">
  <ds:schemaRefs>
    <ds:schemaRef ds:uri="http://schemas.microsoft.com/sharepoint/v3/contenttype/forms"/>
  </ds:schemaRefs>
</ds:datastoreItem>
</file>

<file path=customXml/itemProps5.xml><?xml version="1.0" encoding="utf-8"?>
<ds:datastoreItem xmlns:ds="http://schemas.openxmlformats.org/officeDocument/2006/customXml" ds:itemID="{F06C07F2-2E69-4CBB-8779-32814F892865}">
  <ds:schemaRefs>
    <ds:schemaRef ds:uri="http://schemas.microsoft.com/office/2006/metadata/properties"/>
    <ds:schemaRef ds:uri="http://schemas.microsoft.com/office/infopath/2007/PartnerControls"/>
    <ds:schemaRef ds:uri="http://schemas.microsoft.com/sharepoint/v3"/>
    <ds:schemaRef ds:uri="7558938a-8a22-4524-afb0-58b165029303"/>
    <ds:schemaRef ds:uri="ddb5066c-6899-482b-9ea0-5145f9da99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vt:lpstr>
      <vt:lpstr>Figure AJW-5</vt:lpstr>
      <vt:lpstr>Fixed Summary</vt:lpstr>
      <vt:lpstr>Detail by BU, Gen Type</vt:lpstr>
      <vt:lpstr>Source Summary</vt:lpstr>
      <vt:lpstr>Capacity</vt:lpstr>
      <vt:lpstr>By Plant Workpaper</vt:lpstr>
      <vt:lpstr>O&amp;M</vt:lpstr>
      <vt:lpstr>Rate of Return</vt:lpstr>
      <vt:lpstr>NBV By Fuel Type</vt:lpstr>
      <vt:lpstr>LASOR Gen Summary - I&amp;M</vt:lpstr>
      <vt:lpstr>'NBV By Fuel Type'!Print_Titles</vt:lpstr>
    </vt:vector>
  </TitlesOfParts>
  <Manager/>
  <Company>American Electric Power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 Stegall</dc:creator>
  <cp:keywords/>
  <dc:description/>
  <cp:lastModifiedBy>Bruce, Carla</cp:lastModifiedBy>
  <cp:revision/>
  <dcterms:created xsi:type="dcterms:W3CDTF">2024-06-11T16:49:48Z</dcterms:created>
  <dcterms:modified xsi:type="dcterms:W3CDTF">2025-04-11T18:22:34Z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cece8d98-13e1-4868-9032-8f9b5af10000</vt:lpwstr>
  </property>
  <property fmtid="{D5CDD505-2E9C-101B-9397-08002B2CF9AE}" pid="3" name="bjClsUserRVM">
    <vt:lpwstr>[]</vt:lpwstr>
  </property>
  <property fmtid="{D5CDD505-2E9C-101B-9397-08002B2CF9AE}" pid="4" name="bjSaver">
    <vt:lpwstr>6GFFSOnaQbECxcQ/mD8nfwxHQ81QN6/M</vt:lpwstr>
  </property>
  <property fmtid="{D5CDD505-2E9C-101B-9397-08002B2CF9AE}" pid="5"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6" name="bjDocumentLabelXML-0">
    <vt:lpwstr>ames.com/2008/01/sie/internal/label"&gt;&lt;element uid="50c31824-0780-4910-87d1-eaaffd182d42" value="" /&gt;&lt;element uid="d14f5c36-f44a-4315-b438-005cfe8f069f" value="" /&gt;&lt;/sisl&gt;</vt:lpwstr>
  </property>
  <property fmtid="{D5CDD505-2E9C-101B-9397-08002B2CF9AE}" pid="7" name="bjDocumentSecurityLabel">
    <vt:lpwstr>AEP Internal</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LabelHistoryID">
    <vt:lpwstr>{BF6F7E0A-43DB-4D75-90A4-ECB152C0450A}</vt:lpwstr>
  </property>
  <property fmtid="{D5CDD505-2E9C-101B-9397-08002B2CF9AE}" pid="12" name="ContentTypeId">
    <vt:lpwstr>0x01010017F62C1BAB7D1B4998D0BFFEC59B8AD2</vt:lpwstr>
  </property>
</Properties>
</file>